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0490" windowHeight="7485" activeTab="0"/>
  </bookViews>
  <sheets>
    <sheet name="Plan1" sheetId="1" r:id="rId1"/>
    <sheet name="Plan2" sheetId="2" r:id="rId2"/>
    <sheet name="Plan3" sheetId="3" r:id="rId3"/>
    <sheet name="Plan4" sheetId="4" r:id="rId4"/>
    <sheet name="Plan5" sheetId="5" r:id="rId5"/>
    <sheet name="Plan6" sheetId="6" r:id="rId6"/>
    <sheet name="Plan7" sheetId="7" r:id="rId7"/>
    <sheet name="Plan8" sheetId="8" r:id="rId8"/>
    <sheet name="Plan9" sheetId="9" r:id="rId9"/>
    <sheet name="Plan10" sheetId="10" r:id="rId10"/>
    <sheet name="Plan11" sheetId="11" r:id="rId11"/>
    <sheet name="Plan12" sheetId="12" r:id="rId12"/>
    <sheet name="Plan13" sheetId="13" r:id="rId13"/>
    <sheet name="Plan14" sheetId="14" r:id="rId14"/>
    <sheet name="Plan15" sheetId="15" r:id="rId15"/>
    <sheet name="Plan16" sheetId="16" r:id="rId16"/>
  </sheets>
  <definedNames>
    <definedName name="_xlfn.STDEV.S" hidden="1">#NAME?</definedName>
    <definedName name="_xlnm.Print_Area" localSheetId="0">#N/A</definedName>
  </definedNames>
  <calcPr fullCalcOnLoad="1"/>
</workbook>
</file>

<file path=xl/comments1.xml><?xml version="1.0" encoding="utf-8"?>
<comments xmlns="http://schemas.openxmlformats.org/spreadsheetml/2006/main">
  <authors>
    <author>F?bio Cosenza</author>
  </authors>
  <commentList>
    <comment ref="C18" authorId="0">
      <text>
        <r>
          <rPr>
            <b/>
            <sz val="9"/>
            <rFont val="Segoe UI"/>
            <family val="2"/>
          </rPr>
          <t>Conferir com o setor técnico a unidade de aquisição</t>
        </r>
      </text>
    </comment>
  </commentList>
</comments>
</file>

<file path=xl/sharedStrings.xml><?xml version="1.0" encoding="utf-8"?>
<sst xmlns="http://schemas.openxmlformats.org/spreadsheetml/2006/main" count="79" uniqueCount="63">
  <si>
    <t>DESCRIÇÃO</t>
  </si>
  <si>
    <t>Quant.</t>
  </si>
  <si>
    <t>Coeficiente de Variação</t>
  </si>
  <si>
    <t>Item</t>
  </si>
  <si>
    <t>Preço total - Média</t>
  </si>
  <si>
    <t>Preço total - Mediana</t>
  </si>
  <si>
    <t>Preço unitário - Média</t>
  </si>
  <si>
    <t>PREÇO UNITÁRIO</t>
  </si>
  <si>
    <t>PREÇO TOTAL</t>
  </si>
  <si>
    <t>Preço unitário - Mediana</t>
  </si>
  <si>
    <t>Internet</t>
  </si>
  <si>
    <t>Cód.</t>
  </si>
  <si>
    <t>Unid.</t>
  </si>
  <si>
    <t>Metro</t>
  </si>
  <si>
    <t>Unidade</t>
  </si>
  <si>
    <t>Eletroduto - matéria-prima: aço galvanizado; rigidez: rígido roscável; acabamento: liso, sem costura; diâmetro: bitola de 3/4 de polegada</t>
  </si>
  <si>
    <t>Curva para eletroduto - matéria prima: aço galvanizado; tipo: roscável; angulo: 90 graus; raio: longo; classe: a; diâmetro: 3/4 polegada</t>
  </si>
  <si>
    <t>Curva para eletroduto - matéria prima: aço galvanizado; tipo: roscável; angulo: 45 graus; raio: longo; classe: a; diametro: 3/4 polegada</t>
  </si>
  <si>
    <t>Condulete - bitola: 3/4 polegadas; materia-prima: aluminio; tipo: versatil; modelo: versatil; acabamento: aluminio natural;</t>
  </si>
  <si>
    <t>Condulete - bitola: 3/4 polegada; materia-prima: aluminio; tipo: com rosca; modelo: e; acabamento: aluminio natural;</t>
  </si>
  <si>
    <t>Luva para eletroduto - materia-prima: aco galvanizado; diametro: 3/4 polegada, roscavel;</t>
  </si>
  <si>
    <t>Saida eletroduto - tipo: saida horizontal; dimensao: 3/4" polegada; materia-prima: aco galvanizado;</t>
  </si>
  <si>
    <t>Bracadeira metalica - materia-prima: aco galvanizado; formato: tipo d; medida nominal: 3/4 polegadas; parafuso/porca: sem parafuso; cunha: com cunha</t>
  </si>
  <si>
    <t>Espelho para instalacao eletrica/logica - tipo: espelho cego para condulete; materia-prima: liga de aluminio; tomadas/formato: nao aplicavel; medidas: 2 x 4; cor: aluminio natural;</t>
  </si>
  <si>
    <t>Bucha de acabamento para eletrodutos - materia-prima: aluminio fundido; medida: 3/4 polegada, tipo roscavel;</t>
  </si>
  <si>
    <t>Arruela - materia-prima: aluminio; acabamento: natural; tipo: lisa para eletroduto; medidas: 3/4 polegadas;</t>
  </si>
  <si>
    <t>Tampao para uso eletrico - aplicacao: condulete multiplo; dimensoes: 3/4 de polegada; materia prima: pvc;</t>
  </si>
  <si>
    <t>Conduite - tipo: flexivel; materia-prima: metalico; bitola: 3/4 polegada;</t>
  </si>
  <si>
    <t>Espelho para instalacao eletrica - tipo: condulete; materia-prima: liga de aluminio; tomadas/formato: 2 secoes 2p+t/hexagonal; medidas: 2x4 polegadas; cor: aluminio natural;</t>
  </si>
  <si>
    <t>Espelho para instalacao eletrica - tipo: condulete; materia-prima: liga de aluminio; tomadas/formato: hexagonal vertical; medidas: 3/4; cor: aluminio natural;</t>
  </si>
  <si>
    <t>Espelho para instalacao eletrica/logica - tipo: condulete; materia-prima: liga aluminio; tomadas/formato: duas tomadas rj45 femea 08 vias; medidas: 2x4; cor: aluminio natural;</t>
  </si>
  <si>
    <r>
      <t>Eletrodutos, eletrocalhas, perfilados e acessórios de ferragens (SEI 19.16.3900.0023821/2021-22) -</t>
    </r>
    <r>
      <rPr>
        <b/>
        <sz val="11"/>
        <rFont val="Arial"/>
        <family val="2"/>
      </rPr>
      <t xml:space="preserve"> LOTE 1</t>
    </r>
  </si>
  <si>
    <t>Valor total inserido no SIAD:</t>
  </si>
  <si>
    <t>Anhanguera Comércio de Ferramentas Ltda</t>
  </si>
  <si>
    <t>Copafer Comercial Ltda</t>
  </si>
  <si>
    <t>Bazar 339</t>
  </si>
  <si>
    <t xml:space="preserve">BMB Material de Construcao S.A. </t>
  </si>
  <si>
    <t>GIMAWA COMERCIAL LTDA.</t>
  </si>
  <si>
    <t>Telha Norte - Saint-Gobain Distribuição Brasil</t>
  </si>
  <si>
    <t>Loja Elétrica</t>
  </si>
  <si>
    <t>Pau Brasil madeireira e materiais de construção</t>
  </si>
  <si>
    <t xml:space="preserve">HECON - J. Gomes de Medeiros </t>
  </si>
  <si>
    <t>Plenadomus Comércio de Utilitades Domésticas LTDA.</t>
  </si>
  <si>
    <t>Dimensional Centelha Soluções ltda.</t>
  </si>
  <si>
    <t>NEPPE Materiais Elétricos.</t>
  </si>
  <si>
    <t>Agrometal</t>
  </si>
  <si>
    <t>Empório Do braz</t>
  </si>
  <si>
    <t>PEDRÃO PVC</t>
  </si>
  <si>
    <t>Comércio de Ferragens Pires Martins Importação e Exportação Ltda</t>
  </si>
  <si>
    <t xml:space="preserve">JOFEPAR Parafusos e Ferramentas </t>
  </si>
  <si>
    <t xml:space="preserve">Eletrorastro Comércio de Materiais Elétricos Ltda </t>
  </si>
  <si>
    <t xml:space="preserve">COMERCIAL DE CONSTRUÇÃO 2001 LTDA </t>
  </si>
  <si>
    <t>SANTIL</t>
  </si>
  <si>
    <t>IRMÃOS QUEIROZ</t>
  </si>
  <si>
    <t>Drydepot</t>
  </si>
  <si>
    <t xml:space="preserve">I9 Elétrica Comercio e Serviços Ltda </t>
  </si>
  <si>
    <t>Obramax - BMB Material de Construcao S.A.</t>
  </si>
  <si>
    <t>BinyapCoi Tecnologia em Construções Eireli</t>
  </si>
  <si>
    <t>C&amp;C Casa e Construção Ltda.</t>
  </si>
  <si>
    <t xml:space="preserve">Quality Comércio de Tubos e Conexões Eireli </t>
  </si>
  <si>
    <t>Obs.: 
1) Empresas consultadas conforme documento incluído no Processo SEI 19.16.3900.0023821/2021-22.            
2) A pesquisa feita no Banco de Preços inclui cotações de produtos similares localizadas no período citado em relatório.  
3) No aguardo de orientação institucional, que esta sendo tratada no processo SEI 19.16.3719.0003818/2019-12, como forma objetiva de se tratar preços discrepantes só é utilizada mediana para os itens cujo coeficiente de variação é superior a 25%, conforme critério DATAPREV. 
Mapa elaborado por: Gabriela Simões Chaves MAMP 3868
Em: 01/09/2021</t>
  </si>
  <si>
    <t>Contratações similares - Banco de Preços</t>
  </si>
  <si>
    <t>Reprovado pelo setor técnico</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</si>
</sst>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_(* #,##0.00_);_(* \(#,##0.00\);_(* \-??_);_(@_)"/>
    <numFmt numFmtId="179" formatCode="&quot;Sim&quot;;&quot;Sim&quot;;&quot;Não&quot;"/>
    <numFmt numFmtId="180" formatCode="&quot;Verdadeiro&quot;;&quot;Verdadeiro&quot;;&quot;Falso&quot;"/>
    <numFmt numFmtId="181" formatCode="&quot;Ativar&quot;;&quot;Ativar&quot;;&quot;Desativar&quot;"/>
    <numFmt numFmtId="182" formatCode="&quot;Ativado&quot;;&quot;Ativado&quot;;&quot;Desativado&quot;"/>
    <numFmt numFmtId="183" formatCode="[$€-2]\ #,##0.00_);[Red]\([$€-2]\ #,##0.00\)"/>
    <numFmt numFmtId="184" formatCode="0.00;[Red]0.00"/>
    <numFmt numFmtId="185" formatCode="#,##0.00;[Red]#,##0.00"/>
    <numFmt numFmtId="186" formatCode="&quot;R$&quot;#,##0.00"/>
    <numFmt numFmtId="187" formatCode="#,##0.00\ ;&quot; (&quot;#,##0.00\);&quot; -&quot;#\ ;@\ "/>
    <numFmt numFmtId="188" formatCode="#,##0.000"/>
  </numFmts>
  <fonts count="45">
    <font>
      <sz val="10"/>
      <name val="Arial"/>
      <family val="2"/>
    </font>
    <font>
      <b/>
      <sz val="14"/>
      <name val="Arial"/>
      <family val="2"/>
    </font>
    <font>
      <sz val="11"/>
      <name val="Arial"/>
      <family val="2"/>
    </font>
    <font>
      <b/>
      <sz val="10"/>
      <name val="Arial"/>
      <family val="2"/>
    </font>
    <font>
      <b/>
      <sz val="11.5"/>
      <color indexed="8"/>
      <name val="Arial"/>
      <family val="2"/>
    </font>
    <font>
      <sz val="8"/>
      <name val="Arial"/>
      <family val="2"/>
    </font>
    <font>
      <b/>
      <sz val="8"/>
      <name val="Arial"/>
      <family val="2"/>
    </font>
    <font>
      <b/>
      <sz val="11"/>
      <name val="Arial"/>
      <family val="2"/>
    </font>
    <font>
      <b/>
      <sz val="9"/>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rgb="FFFF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6" tint="0.5999900102615356"/>
        <bgColor indexed="64"/>
      </patternFill>
    </fill>
    <fill>
      <patternFill patternType="solid">
        <fgColor rgb="FFFF00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thin"/>
      <bottom style="hair"/>
    </border>
    <border>
      <left style="thin"/>
      <right style="thin"/>
      <top>
        <color indexed="63"/>
      </top>
      <bottom>
        <color indexed="63"/>
      </bottom>
    </border>
    <border>
      <left style="double"/>
      <right style="double">
        <color indexed="8"/>
      </right>
      <top>
        <color indexed="63"/>
      </top>
      <bottom>
        <color indexed="63"/>
      </bottom>
    </border>
    <border>
      <left style="thin">
        <color indexed="8"/>
      </left>
      <right style="thin">
        <color indexed="8"/>
      </right>
      <top style="thin"/>
      <bottom style="hair">
        <color indexed="8"/>
      </bottom>
    </border>
    <border>
      <left style="thin">
        <color indexed="8"/>
      </left>
      <right style="thin">
        <color indexed="8"/>
      </right>
      <top>
        <color indexed="63"/>
      </top>
      <bottom style="hair">
        <color indexed="8"/>
      </bottom>
    </border>
    <border>
      <left style="double"/>
      <right style="double"/>
      <top>
        <color indexed="63"/>
      </top>
      <bottom>
        <color indexed="63"/>
      </bottom>
    </border>
    <border>
      <left style="thin">
        <color indexed="8"/>
      </left>
      <right style="thin">
        <color indexed="8"/>
      </right>
      <top style="hair">
        <color indexed="8"/>
      </top>
      <bottom style="hair">
        <color indexed="8"/>
      </bottom>
    </border>
    <border>
      <left style="double"/>
      <right style="double">
        <color indexed="8"/>
      </right>
      <top style="thin"/>
      <bottom style="hair"/>
    </border>
    <border>
      <left style="double">
        <color indexed="8"/>
      </left>
      <right style="thin">
        <color indexed="8"/>
      </right>
      <top style="hair">
        <color indexed="8"/>
      </top>
      <bottom style="hair">
        <color indexed="8"/>
      </bottom>
    </border>
    <border>
      <left style="double">
        <color indexed="8"/>
      </left>
      <right style="thin">
        <color indexed="8"/>
      </right>
      <top style="thin">
        <color indexed="8"/>
      </top>
      <bottom style="hair">
        <color indexed="8"/>
      </bottom>
    </border>
    <border>
      <left style="thin">
        <color indexed="8"/>
      </left>
      <right style="thin">
        <color indexed="8"/>
      </right>
      <top style="thin">
        <color indexed="8"/>
      </top>
      <bottom style="hair">
        <color indexed="8"/>
      </bottom>
    </border>
    <border>
      <left style="thin"/>
      <right>
        <color indexed="63"/>
      </right>
      <top>
        <color indexed="63"/>
      </top>
      <bottom>
        <color indexed="63"/>
      </bottom>
    </border>
    <border>
      <left style="double"/>
      <right>
        <color indexed="63"/>
      </right>
      <top style="thin"/>
      <bottom style="hair"/>
    </border>
    <border>
      <left>
        <color indexed="63"/>
      </left>
      <right>
        <color indexed="63"/>
      </right>
      <top style="thin"/>
      <bottom style="hair"/>
    </border>
    <border>
      <left>
        <color indexed="63"/>
      </left>
      <right style="double"/>
      <top style="thin"/>
      <bottom style="hair"/>
    </border>
    <border>
      <left style="double">
        <color indexed="8"/>
      </left>
      <right>
        <color indexed="63"/>
      </right>
      <top style="hair">
        <color indexed="8"/>
      </top>
      <bottom style="thin"/>
    </border>
    <border>
      <left>
        <color indexed="63"/>
      </left>
      <right>
        <color indexed="63"/>
      </right>
      <top style="hair">
        <color indexed="8"/>
      </top>
      <bottom style="thin"/>
    </border>
    <border>
      <left style="double"/>
      <right style="double"/>
      <top style="double">
        <color indexed="8"/>
      </top>
      <bottom>
        <color indexed="63"/>
      </bottom>
    </border>
    <border>
      <left style="thin">
        <color indexed="8"/>
      </left>
      <right style="thin">
        <color indexed="8"/>
      </right>
      <top style="double">
        <color indexed="8"/>
      </top>
      <bottom>
        <color indexed="63"/>
      </bottom>
    </border>
    <border>
      <left style="thin">
        <color indexed="8"/>
      </left>
      <right style="thin">
        <color indexed="8"/>
      </right>
      <top>
        <color indexed="63"/>
      </top>
      <bottom>
        <color indexed="63"/>
      </bottom>
    </border>
    <border>
      <left style="double"/>
      <right>
        <color indexed="63"/>
      </right>
      <top style="double">
        <color indexed="8"/>
      </top>
      <bottom style="thin"/>
    </border>
    <border>
      <left>
        <color indexed="63"/>
      </left>
      <right style="double"/>
      <top style="double">
        <color indexed="8"/>
      </top>
      <bottom style="thin"/>
    </border>
    <border>
      <left style="double">
        <color indexed="8"/>
      </left>
      <right style="thin">
        <color indexed="8"/>
      </right>
      <top style="double">
        <color indexed="8"/>
      </top>
      <bottom>
        <color indexed="63"/>
      </bottom>
    </border>
    <border>
      <left style="double">
        <color indexed="8"/>
      </left>
      <right style="thin">
        <color indexed="8"/>
      </right>
      <top>
        <color indexed="63"/>
      </top>
      <bottom>
        <color indexed="63"/>
      </bottom>
    </border>
    <border>
      <left>
        <color indexed="63"/>
      </left>
      <right>
        <color indexed="63"/>
      </right>
      <top>
        <color indexed="63"/>
      </top>
      <bottom style="double">
        <color indexed="8"/>
      </bottom>
    </border>
    <border>
      <left>
        <color indexed="63"/>
      </left>
      <right>
        <color indexed="63"/>
      </right>
      <top style="double">
        <color indexed="8"/>
      </top>
      <bottom style="thin"/>
    </border>
    <border>
      <left style="thin">
        <color indexed="8"/>
      </left>
      <right style="thin"/>
      <top style="double">
        <color indexed="8"/>
      </top>
      <bottom>
        <color indexed="63"/>
      </bottom>
    </border>
    <border>
      <left style="thin">
        <color indexed="8"/>
      </left>
      <right style="thin"/>
      <top>
        <color indexed="63"/>
      </top>
      <bottom>
        <color indexed="63"/>
      </bottom>
    </border>
    <border>
      <left>
        <color indexed="63"/>
      </left>
      <right style="double">
        <color indexed="8"/>
      </right>
      <top style="double">
        <color indexed="8"/>
      </top>
      <bottom style="thin"/>
    </border>
    <border>
      <left style="thin"/>
      <right style="double"/>
      <top style="double">
        <color indexed="8"/>
      </top>
      <bottom>
        <color indexed="63"/>
      </bottom>
    </border>
    <border>
      <left style="thin"/>
      <right style="double"/>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21" borderId="2" applyNumberFormat="0" applyAlignment="0" applyProtection="0"/>
    <xf numFmtId="0" fontId="32" fillId="0" borderId="3" applyNumberFormat="0" applyFill="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3" fillId="28" borderId="1" applyNumberFormat="0" applyAlignment="0" applyProtection="0"/>
    <xf numFmtId="176" fontId="0" fillId="0" borderId="0" applyFill="0" applyBorder="0" applyAlignment="0" applyProtection="0"/>
    <xf numFmtId="174" fontId="0" fillId="0" borderId="0" applyFill="0" applyBorder="0" applyAlignment="0" applyProtection="0"/>
    <xf numFmtId="0" fontId="34" fillId="29" borderId="0" applyNumberFormat="0" applyBorder="0" applyAlignment="0" applyProtection="0"/>
    <xf numFmtId="0" fontId="27" fillId="0" borderId="0">
      <alignment/>
      <protection/>
    </xf>
    <xf numFmtId="0" fontId="0" fillId="0" borderId="0">
      <alignment/>
      <protection/>
    </xf>
    <xf numFmtId="0" fontId="27" fillId="0" borderId="0">
      <alignment/>
      <protection/>
    </xf>
    <xf numFmtId="0" fontId="0" fillId="30" borderId="4" applyNumberFormat="0" applyFont="0" applyAlignment="0" applyProtection="0"/>
    <xf numFmtId="9" fontId="0" fillId="0" borderId="0" applyFill="0" applyBorder="0" applyAlignment="0" applyProtection="0"/>
    <xf numFmtId="0" fontId="35" fillId="31" borderId="0" applyNumberFormat="0" applyBorder="0" applyAlignment="0" applyProtection="0"/>
    <xf numFmtId="0" fontId="36" fillId="20" borderId="5" applyNumberFormat="0" applyAlignment="0" applyProtection="0"/>
    <xf numFmtId="175" fontId="0" fillId="0" borderId="0" applyFill="0" applyBorder="0" applyAlignment="0" applyProtection="0"/>
    <xf numFmtId="43" fontId="27" fillId="0" borderId="0" applyFont="0" applyFill="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178" fontId="0" fillId="0" borderId="0" applyFill="0" applyBorder="0" applyAlignment="0" applyProtection="0"/>
    <xf numFmtId="187" fontId="0" fillId="0" borderId="0" applyFill="0" applyBorder="0" applyAlignment="0" applyProtection="0"/>
    <xf numFmtId="43" fontId="27" fillId="0" borderId="0" applyFont="0" applyFill="0" applyBorder="0" applyAlignment="0" applyProtection="0"/>
  </cellStyleXfs>
  <cellXfs count="56">
    <xf numFmtId="0" fontId="0" fillId="0" borderId="0" xfId="0" applyAlignment="1">
      <alignment/>
    </xf>
    <xf numFmtId="0" fontId="0" fillId="0" borderId="0" xfId="0" applyAlignment="1">
      <alignment horizontal="center"/>
    </xf>
    <xf numFmtId="0" fontId="0" fillId="0" borderId="0" xfId="0" applyAlignment="1">
      <alignment horizontal="left"/>
    </xf>
    <xf numFmtId="0" fontId="3" fillId="0" borderId="0" xfId="0" applyFont="1" applyAlignment="1">
      <alignment vertical="center"/>
    </xf>
    <xf numFmtId="4" fontId="5" fillId="0" borderId="10" xfId="0" applyNumberFormat="1" applyFont="1" applyFill="1" applyBorder="1" applyAlignment="1">
      <alignment horizontal="center" vertical="center" wrapText="1"/>
    </xf>
    <xf numFmtId="0" fontId="5" fillId="0" borderId="11" xfId="0" applyFont="1" applyFill="1" applyBorder="1" applyAlignment="1" applyProtection="1">
      <alignment horizontal="center" vertical="center" wrapText="1"/>
      <protection locked="0"/>
    </xf>
    <xf numFmtId="10" fontId="5" fillId="32" borderId="10" xfId="0" applyNumberFormat="1" applyFont="1" applyFill="1" applyBorder="1" applyAlignment="1" applyProtection="1">
      <alignment horizontal="center" vertical="center" wrapText="1"/>
      <protection locked="0"/>
    </xf>
    <xf numFmtId="0" fontId="5" fillId="32" borderId="12" xfId="0" applyFont="1" applyFill="1" applyBorder="1" applyAlignment="1">
      <alignment horizontal="center" vertical="center" wrapText="1"/>
    </xf>
    <xf numFmtId="4" fontId="5" fillId="0" borderId="10" xfId="0" applyNumberFormat="1" applyFont="1" applyFill="1" applyBorder="1" applyAlignment="1" applyProtection="1">
      <alignment horizontal="center" vertical="center" wrapText="1"/>
      <protection locked="0"/>
    </xf>
    <xf numFmtId="4" fontId="5" fillId="0" borderId="13" xfId="0" applyNumberFormat="1" applyFont="1" applyFill="1" applyBorder="1" applyAlignment="1" applyProtection="1">
      <alignment horizontal="center" vertical="center" wrapText="1"/>
      <protection locked="0"/>
    </xf>
    <xf numFmtId="4" fontId="5" fillId="0" borderId="14" xfId="0" applyNumberFormat="1" applyFont="1" applyFill="1" applyBorder="1" applyAlignment="1" applyProtection="1">
      <alignment horizontal="center" vertical="center" wrapText="1"/>
      <protection locked="0"/>
    </xf>
    <xf numFmtId="0" fontId="5" fillId="32" borderId="15" xfId="0" applyFont="1" applyFill="1" applyBorder="1" applyAlignment="1" applyProtection="1">
      <alignment horizontal="center" vertical="center" wrapText="1"/>
      <protection locked="0"/>
    </xf>
    <xf numFmtId="3" fontId="5" fillId="0" borderId="16" xfId="47" applyNumberFormat="1" applyFont="1" applyFill="1" applyBorder="1" applyAlignment="1">
      <alignment horizontal="center" vertical="center" wrapText="1"/>
      <protection/>
    </xf>
    <xf numFmtId="0" fontId="5" fillId="0" borderId="16" xfId="47" applyFont="1" applyFill="1" applyBorder="1" applyAlignment="1">
      <alignment horizontal="left" vertical="center" wrapText="1"/>
      <protection/>
    </xf>
    <xf numFmtId="4" fontId="5" fillId="0" borderId="17" xfId="0" applyNumberFormat="1"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18" xfId="0" applyFont="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Border="1" applyAlignment="1">
      <alignment horizontal="center" vertical="center" wrapText="1"/>
    </xf>
    <xf numFmtId="3" fontId="5" fillId="0" borderId="20" xfId="47" applyNumberFormat="1" applyFont="1" applyFill="1" applyBorder="1" applyAlignment="1">
      <alignment horizontal="center" vertical="center" wrapText="1"/>
      <protection/>
    </xf>
    <xf numFmtId="0" fontId="5" fillId="0" borderId="20" xfId="0" applyFont="1" applyBorder="1" applyAlignment="1">
      <alignment horizontal="left" vertical="center" wrapText="1"/>
    </xf>
    <xf numFmtId="0" fontId="5" fillId="0" borderId="16" xfId="0" applyFont="1" applyBorder="1" applyAlignment="1">
      <alignment horizontal="center" vertical="center" wrapText="1"/>
    </xf>
    <xf numFmtId="0" fontId="5" fillId="0" borderId="16" xfId="0" applyFont="1" applyBorder="1" applyAlignment="1">
      <alignment horizontal="left" vertical="center" wrapText="1"/>
    </xf>
    <xf numFmtId="0" fontId="5" fillId="0" borderId="16" xfId="0" applyFont="1" applyBorder="1" applyAlignment="1">
      <alignment horizontal="center" vertical="center"/>
    </xf>
    <xf numFmtId="0" fontId="5" fillId="33"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4" fontId="5" fillId="32" borderId="17" xfId="0" applyNumberFormat="1" applyFont="1" applyFill="1" applyBorder="1" applyAlignment="1">
      <alignment horizontal="center" vertical="center" wrapText="1"/>
    </xf>
    <xf numFmtId="4" fontId="5" fillId="32" borderId="10" xfId="0" applyNumberFormat="1" applyFont="1" applyFill="1" applyBorder="1" applyAlignment="1">
      <alignment horizontal="center" vertical="center" wrapText="1"/>
    </xf>
    <xf numFmtId="4" fontId="6" fillId="32" borderId="17" xfId="0" applyNumberFormat="1" applyFont="1" applyFill="1" applyBorder="1" applyAlignment="1">
      <alignment horizontal="center" vertical="center" wrapText="1"/>
    </xf>
    <xf numFmtId="0" fontId="5" fillId="0" borderId="21" xfId="0" applyFont="1" applyFill="1" applyBorder="1" applyAlignment="1" applyProtection="1">
      <alignment horizontal="center" vertical="center" wrapText="1"/>
      <protection locked="0"/>
    </xf>
    <xf numFmtId="4" fontId="44" fillId="0" borderId="14" xfId="0" applyNumberFormat="1" applyFont="1" applyFill="1" applyBorder="1" applyAlignment="1" applyProtection="1">
      <alignment horizontal="center" vertical="center" wrapText="1"/>
      <protection locked="0"/>
    </xf>
    <xf numFmtId="10" fontId="6" fillId="32" borderId="22" xfId="0" applyNumberFormat="1" applyFont="1" applyFill="1" applyBorder="1" applyAlignment="1" applyProtection="1">
      <alignment horizontal="center" vertical="center" wrapText="1"/>
      <protection locked="0"/>
    </xf>
    <xf numFmtId="10" fontId="6" fillId="32" borderId="23" xfId="0" applyNumberFormat="1" applyFont="1" applyFill="1" applyBorder="1" applyAlignment="1" applyProtection="1">
      <alignment horizontal="center" vertical="center" wrapText="1"/>
      <protection locked="0"/>
    </xf>
    <xf numFmtId="10" fontId="6" fillId="32" borderId="24" xfId="0" applyNumberFormat="1" applyFont="1" applyFill="1" applyBorder="1" applyAlignment="1" applyProtection="1">
      <alignment horizontal="center" vertical="center" wrapText="1"/>
      <protection locked="0"/>
    </xf>
    <xf numFmtId="0" fontId="5" fillId="0" borderId="25" xfId="0" applyNumberFormat="1" applyFont="1" applyFill="1" applyBorder="1" applyAlignment="1">
      <alignment horizontal="left" vertical="center" wrapText="1"/>
    </xf>
    <xf numFmtId="0" fontId="5" fillId="0" borderId="26" xfId="0" applyNumberFormat="1" applyFont="1" applyFill="1" applyBorder="1" applyAlignment="1">
      <alignment horizontal="left" vertical="center" wrapText="1"/>
    </xf>
    <xf numFmtId="0" fontId="5" fillId="32" borderId="27" xfId="0" applyFont="1" applyFill="1" applyBorder="1" applyAlignment="1" applyProtection="1">
      <alignment horizontal="center" vertical="center" wrapText="1"/>
      <protection locked="0"/>
    </xf>
    <xf numFmtId="0" fontId="5" fillId="32" borderId="15" xfId="0" applyFont="1" applyFill="1" applyBorder="1" applyAlignment="1" applyProtection="1">
      <alignment horizontal="center" vertical="center" wrapText="1"/>
      <protection locked="0"/>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1" fillId="0" borderId="0" xfId="0" applyFont="1" applyBorder="1" applyAlignment="1">
      <alignment horizontal="center"/>
    </xf>
    <xf numFmtId="0" fontId="5" fillId="32" borderId="30" xfId="0" applyFont="1" applyFill="1" applyBorder="1" applyAlignment="1" applyProtection="1">
      <alignment horizontal="center" vertical="center" wrapText="1"/>
      <protection locked="0"/>
    </xf>
    <xf numFmtId="0" fontId="5" fillId="32" borderId="31" xfId="0" applyFont="1" applyFill="1" applyBorder="1" applyAlignment="1" applyProtection="1">
      <alignment horizontal="center" vertical="center" wrapText="1"/>
      <protection locked="0"/>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2" fillId="0" borderId="34" xfId="0" applyFont="1" applyBorder="1" applyAlignment="1">
      <alignment horizontal="center"/>
    </xf>
    <xf numFmtId="0" fontId="5" fillId="0" borderId="35" xfId="0" applyFont="1" applyFill="1" applyBorder="1" applyAlignment="1" applyProtection="1">
      <alignment horizontal="center" vertical="center" wrapText="1"/>
      <protection locked="0"/>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32" borderId="35" xfId="0" applyFont="1" applyFill="1" applyBorder="1" applyAlignment="1">
      <alignment horizontal="center" vertical="center" wrapText="1"/>
    </xf>
    <xf numFmtId="0" fontId="5" fillId="32" borderId="38" xfId="0" applyFont="1" applyFill="1" applyBorder="1" applyAlignment="1">
      <alignment horizontal="center" vertical="center" wrapText="1"/>
    </xf>
    <xf numFmtId="0" fontId="5" fillId="0" borderId="39" xfId="0" applyFont="1" applyFill="1" applyBorder="1" applyAlignment="1" applyProtection="1">
      <alignment horizontal="center" vertical="center" wrapText="1"/>
      <protection locked="0"/>
    </xf>
    <xf numFmtId="0" fontId="5" fillId="0" borderId="40" xfId="0" applyFont="1" applyFill="1" applyBorder="1" applyAlignment="1" applyProtection="1">
      <alignment horizontal="center" vertical="center" wrapText="1"/>
      <protection locked="0"/>
    </xf>
    <xf numFmtId="4" fontId="5" fillId="32" borderId="10" xfId="0" applyNumberFormat="1" applyFont="1" applyFill="1" applyBorder="1" applyAlignment="1" applyProtection="1">
      <alignment horizontal="center" vertical="center" wrapText="1"/>
      <protection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rmal 13" xfId="47"/>
    <cellStyle name="Normal 2" xfId="48"/>
    <cellStyle name="Normal 3" xfId="49"/>
    <cellStyle name="Nota" xfId="50"/>
    <cellStyle name="Percent" xfId="51"/>
    <cellStyle name="Ruim" xfId="52"/>
    <cellStyle name="Saída" xfId="53"/>
    <cellStyle name="Comma [0]" xfId="54"/>
    <cellStyle name="Separador de milhares 19" xfId="55"/>
    <cellStyle name="Separador de milhares 2" xfId="56"/>
    <cellStyle name="Texto de Aviso" xfId="57"/>
    <cellStyle name="Texto Explicativo" xfId="58"/>
    <cellStyle name="Título" xfId="59"/>
    <cellStyle name="Título 1" xfId="60"/>
    <cellStyle name="Título 2" xfId="61"/>
    <cellStyle name="Título 3" xfId="62"/>
    <cellStyle name="Título 4" xfId="63"/>
    <cellStyle name="Total" xfId="64"/>
    <cellStyle name="Comma" xfId="65"/>
    <cellStyle name="Vírgula 2" xfId="66"/>
    <cellStyle name="Vírgula 3"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3</xdr:col>
      <xdr:colOff>409575</xdr:colOff>
      <xdr:row>1</xdr:row>
      <xdr:rowOff>209550</xdr:rowOff>
    </xdr:to>
    <xdr:pic>
      <xdr:nvPicPr>
        <xdr:cNvPr id="1" name="Imagem 2"/>
        <xdr:cNvPicPr preferRelativeResize="1">
          <a:picLocks noChangeAspect="1"/>
        </xdr:cNvPicPr>
      </xdr:nvPicPr>
      <xdr:blipFill>
        <a:blip r:embed="rId1"/>
        <a:stretch>
          <a:fillRect/>
        </a:stretch>
      </xdr:blipFill>
      <xdr:spPr>
        <a:xfrm>
          <a:off x="0" y="57150"/>
          <a:ext cx="180022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L22"/>
  <sheetViews>
    <sheetView tabSelected="1" showOutlineSymbols="0" view="pageBreakPreview" zoomScaleNormal="80" zoomScaleSheetLayoutView="100" zoomScalePageLayoutView="0" workbookViewId="0" topLeftCell="A1">
      <pane xSplit="5" ySplit="4" topLeftCell="F5" activePane="bottomRight" state="frozen"/>
      <selection pane="topLeft" activeCell="A1" sqref="A1"/>
      <selection pane="topRight" activeCell="F1" sqref="F1"/>
      <selection pane="bottomLeft" activeCell="A5" sqref="A5"/>
      <selection pane="bottomRight" activeCell="F4" sqref="F1:H16384"/>
    </sheetView>
  </sheetViews>
  <sheetFormatPr defaultColWidth="11.421875" defaultRowHeight="12.75"/>
  <cols>
    <col min="1" max="1" width="7.140625" style="1" customWidth="1"/>
    <col min="2" max="3" width="6.8515625" style="1" customWidth="1"/>
    <col min="4" max="4" width="8.57421875" style="1" customWidth="1"/>
    <col min="5" max="5" width="35.00390625" style="0" customWidth="1"/>
    <col min="6" max="33" width="11.57421875" style="0" hidden="1" customWidth="1"/>
    <col min="34" max="38" width="12.00390625" style="0" customWidth="1"/>
  </cols>
  <sheetData>
    <row r="1" spans="1:38" ht="37.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row>
    <row r="2" spans="1:38" s="2" customFormat="1" ht="24.75" customHeight="1" thickBot="1">
      <c r="A2" s="47" t="s">
        <v>31</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row>
    <row r="3" spans="1:38" s="2" customFormat="1" ht="17.25" customHeight="1" thickTop="1">
      <c r="A3" s="45" t="s">
        <v>3</v>
      </c>
      <c r="B3" s="40" t="s">
        <v>1</v>
      </c>
      <c r="C3" s="40" t="s">
        <v>12</v>
      </c>
      <c r="D3" s="40" t="s">
        <v>11</v>
      </c>
      <c r="E3" s="49" t="s">
        <v>0</v>
      </c>
      <c r="F3" s="48" t="s">
        <v>10</v>
      </c>
      <c r="G3" s="48"/>
      <c r="H3" s="48"/>
      <c r="I3" s="48"/>
      <c r="J3" s="48"/>
      <c r="K3" s="48"/>
      <c r="L3" s="48"/>
      <c r="M3" s="48"/>
      <c r="N3" s="48"/>
      <c r="O3" s="48"/>
      <c r="P3" s="48"/>
      <c r="Q3" s="48"/>
      <c r="R3" s="48"/>
      <c r="S3" s="48"/>
      <c r="T3" s="48"/>
      <c r="U3" s="48"/>
      <c r="V3" s="48"/>
      <c r="W3" s="48"/>
      <c r="X3" s="48"/>
      <c r="Y3" s="48"/>
      <c r="Z3" s="48"/>
      <c r="AA3" s="48"/>
      <c r="AB3" s="48"/>
      <c r="AC3" s="48"/>
      <c r="AD3" s="48"/>
      <c r="AE3" s="48"/>
      <c r="AF3" s="48"/>
      <c r="AG3" s="53" t="s">
        <v>61</v>
      </c>
      <c r="AH3" s="38" t="s">
        <v>2</v>
      </c>
      <c r="AI3" s="43" t="s">
        <v>7</v>
      </c>
      <c r="AJ3" s="44"/>
      <c r="AK3" s="51" t="s">
        <v>8</v>
      </c>
      <c r="AL3" s="52"/>
    </row>
    <row r="4" spans="1:38" s="3" customFormat="1" ht="57.75" customHeight="1">
      <c r="A4" s="46"/>
      <c r="B4" s="41"/>
      <c r="C4" s="41"/>
      <c r="D4" s="41"/>
      <c r="E4" s="50"/>
      <c r="F4" s="5" t="s">
        <v>33</v>
      </c>
      <c r="G4" s="5" t="s">
        <v>34</v>
      </c>
      <c r="H4" s="5" t="s">
        <v>35</v>
      </c>
      <c r="I4" s="5" t="s">
        <v>36</v>
      </c>
      <c r="J4" s="5" t="s">
        <v>37</v>
      </c>
      <c r="K4" s="5" t="s">
        <v>38</v>
      </c>
      <c r="L4" s="5" t="s">
        <v>39</v>
      </c>
      <c r="M4" s="5" t="s">
        <v>59</v>
      </c>
      <c r="N4" s="5" t="s">
        <v>40</v>
      </c>
      <c r="O4" s="5" t="s">
        <v>41</v>
      </c>
      <c r="P4" s="5" t="s">
        <v>42</v>
      </c>
      <c r="Q4" s="5" t="s">
        <v>43</v>
      </c>
      <c r="R4" s="5" t="s">
        <v>44</v>
      </c>
      <c r="S4" s="5" t="s">
        <v>45</v>
      </c>
      <c r="T4" s="5" t="s">
        <v>46</v>
      </c>
      <c r="U4" s="5" t="s">
        <v>47</v>
      </c>
      <c r="V4" s="5" t="s">
        <v>48</v>
      </c>
      <c r="W4" s="5" t="s">
        <v>49</v>
      </c>
      <c r="X4" s="5" t="s">
        <v>50</v>
      </c>
      <c r="Y4" s="5" t="s">
        <v>51</v>
      </c>
      <c r="Z4" s="5" t="s">
        <v>52</v>
      </c>
      <c r="AA4" s="5" t="s">
        <v>53</v>
      </c>
      <c r="AB4" s="5" t="s">
        <v>54</v>
      </c>
      <c r="AC4" s="5" t="s">
        <v>55</v>
      </c>
      <c r="AD4" s="5" t="s">
        <v>56</v>
      </c>
      <c r="AE4" s="5" t="s">
        <v>57</v>
      </c>
      <c r="AF4" s="31" t="s">
        <v>58</v>
      </c>
      <c r="AG4" s="54"/>
      <c r="AH4" s="39"/>
      <c r="AI4" s="11" t="s">
        <v>6</v>
      </c>
      <c r="AJ4" s="11" t="s">
        <v>9</v>
      </c>
      <c r="AK4" s="15" t="s">
        <v>4</v>
      </c>
      <c r="AL4" s="7" t="s">
        <v>5</v>
      </c>
    </row>
    <row r="5" spans="1:38" s="3" customFormat="1" ht="45">
      <c r="A5" s="19">
        <v>1</v>
      </c>
      <c r="B5" s="20">
        <v>60</v>
      </c>
      <c r="C5" s="20" t="s">
        <v>13</v>
      </c>
      <c r="D5" s="21">
        <v>65889</v>
      </c>
      <c r="E5" s="22" t="s">
        <v>15</v>
      </c>
      <c r="F5" s="9">
        <f>27.33/3*B5</f>
        <v>546.5999999999999</v>
      </c>
      <c r="G5" s="9">
        <f>41.86/3*B5</f>
        <v>837.2</v>
      </c>
      <c r="H5" s="9">
        <f>29.8/3*B5</f>
        <v>596</v>
      </c>
      <c r="I5" s="9">
        <f>22.29/3*B5</f>
        <v>445.79999999999995</v>
      </c>
      <c r="J5" s="9"/>
      <c r="K5" s="9"/>
      <c r="L5" s="9"/>
      <c r="M5" s="9"/>
      <c r="N5" s="9"/>
      <c r="O5" s="9"/>
      <c r="P5" s="9"/>
      <c r="Q5" s="9"/>
      <c r="R5" s="9"/>
      <c r="S5" s="9"/>
      <c r="T5" s="9"/>
      <c r="U5" s="9"/>
      <c r="V5" s="9"/>
      <c r="W5" s="9"/>
      <c r="X5" s="9"/>
      <c r="Y5" s="9"/>
      <c r="Z5" s="9"/>
      <c r="AA5" s="9"/>
      <c r="AB5" s="9"/>
      <c r="AC5" s="9"/>
      <c r="AD5" s="9"/>
      <c r="AE5" s="9"/>
      <c r="AF5" s="9"/>
      <c r="AG5" s="9">
        <f>15.7*B5</f>
        <v>942</v>
      </c>
      <c r="AH5" s="6">
        <f aca="true" t="shared" si="0" ref="AH5:AH20">_xlfn.STDEV.S(F5:AG5)/AVERAGE(F5:AG5)</f>
        <v>0.3086388140070048</v>
      </c>
      <c r="AI5" s="8">
        <f aca="true" t="shared" si="1" ref="AI5:AI20">AVERAGE(F5:AG5)/B5</f>
        <v>11.225333333333333</v>
      </c>
      <c r="AJ5" s="55">
        <f aca="true" t="shared" si="2" ref="AJ5:AJ20">MEDIAN(F5:AG5)/B5</f>
        <v>9.933333333333334</v>
      </c>
      <c r="AK5" s="4">
        <f aca="true" t="shared" si="3" ref="AK5:AK20">AVERAGE(F5:AG5)</f>
        <v>673.52</v>
      </c>
      <c r="AL5" s="28">
        <f aca="true" t="shared" si="4" ref="AL5:AL20">MEDIAN(F5:AG5)</f>
        <v>596</v>
      </c>
    </row>
    <row r="6" spans="1:38" s="3" customFormat="1" ht="45">
      <c r="A6" s="17">
        <v>2</v>
      </c>
      <c r="B6" s="23">
        <v>20</v>
      </c>
      <c r="C6" s="23" t="s">
        <v>14</v>
      </c>
      <c r="D6" s="23">
        <v>509035</v>
      </c>
      <c r="E6" s="24" t="s">
        <v>16</v>
      </c>
      <c r="F6" s="10">
        <f>5.62*B6</f>
        <v>112.4</v>
      </c>
      <c r="G6" s="10"/>
      <c r="H6" s="10"/>
      <c r="I6" s="10"/>
      <c r="J6" s="10">
        <f>5.37*B6</f>
        <v>107.4</v>
      </c>
      <c r="K6" s="32" t="s">
        <v>62</v>
      </c>
      <c r="L6" s="32" t="s">
        <v>62</v>
      </c>
      <c r="M6" s="10"/>
      <c r="N6" s="10"/>
      <c r="O6" s="10"/>
      <c r="P6" s="10"/>
      <c r="Q6" s="10"/>
      <c r="R6" s="10"/>
      <c r="S6" s="10"/>
      <c r="T6" s="10"/>
      <c r="U6" s="10"/>
      <c r="V6" s="10"/>
      <c r="W6" s="10"/>
      <c r="X6" s="10"/>
      <c r="Y6" s="10"/>
      <c r="Z6" s="10"/>
      <c r="AA6" s="10"/>
      <c r="AB6" s="10"/>
      <c r="AC6" s="10"/>
      <c r="AD6" s="10"/>
      <c r="AE6" s="10"/>
      <c r="AF6" s="10"/>
      <c r="AG6" s="10">
        <f>2.99*B6</f>
        <v>59.800000000000004</v>
      </c>
      <c r="AH6" s="6">
        <f t="shared" si="0"/>
        <v>0.31151378300481497</v>
      </c>
      <c r="AI6" s="8">
        <f t="shared" si="1"/>
        <v>4.66</v>
      </c>
      <c r="AJ6" s="55">
        <f t="shared" si="2"/>
        <v>5.37</v>
      </c>
      <c r="AK6" s="4">
        <f t="shared" si="3"/>
        <v>93.2</v>
      </c>
      <c r="AL6" s="28">
        <f t="shared" si="4"/>
        <v>107.4</v>
      </c>
    </row>
    <row r="7" spans="1:38" s="3" customFormat="1" ht="45">
      <c r="A7" s="18">
        <v>3</v>
      </c>
      <c r="B7" s="27">
        <v>20</v>
      </c>
      <c r="C7" s="27" t="s">
        <v>14</v>
      </c>
      <c r="D7" s="27">
        <v>488291</v>
      </c>
      <c r="E7" s="16" t="s">
        <v>17</v>
      </c>
      <c r="F7" s="10"/>
      <c r="G7" s="10"/>
      <c r="H7" s="10"/>
      <c r="I7" s="10"/>
      <c r="J7" s="10"/>
      <c r="K7" s="10"/>
      <c r="L7" s="10">
        <f>9.83*B7</f>
        <v>196.6</v>
      </c>
      <c r="M7" s="32" t="s">
        <v>62</v>
      </c>
      <c r="N7" s="10"/>
      <c r="O7" s="10"/>
      <c r="P7" s="10"/>
      <c r="Q7" s="10"/>
      <c r="R7" s="10"/>
      <c r="S7" s="10"/>
      <c r="T7" s="10"/>
      <c r="U7" s="10"/>
      <c r="V7" s="10"/>
      <c r="W7" s="10"/>
      <c r="X7" s="10"/>
      <c r="Y7" s="10"/>
      <c r="Z7" s="10"/>
      <c r="AA7" s="10"/>
      <c r="AB7" s="10"/>
      <c r="AC7" s="10"/>
      <c r="AD7" s="10"/>
      <c r="AE7" s="10"/>
      <c r="AF7" s="10"/>
      <c r="AG7" s="10">
        <f>27.13*B7</f>
        <v>542.6</v>
      </c>
      <c r="AH7" s="6">
        <f t="shared" si="0"/>
        <v>0.6619560235133805</v>
      </c>
      <c r="AI7" s="8">
        <f t="shared" si="1"/>
        <v>18.48</v>
      </c>
      <c r="AJ7" s="55">
        <f t="shared" si="2"/>
        <v>18.48</v>
      </c>
      <c r="AK7" s="4">
        <f t="shared" si="3"/>
        <v>369.6</v>
      </c>
      <c r="AL7" s="28">
        <f t="shared" si="4"/>
        <v>369.6</v>
      </c>
    </row>
    <row r="8" spans="1:38" s="3" customFormat="1" ht="33.75">
      <c r="A8" s="18">
        <v>4</v>
      </c>
      <c r="B8" s="23">
        <v>50</v>
      </c>
      <c r="C8" s="23" t="s">
        <v>14</v>
      </c>
      <c r="D8" s="23">
        <v>291552</v>
      </c>
      <c r="E8" s="24" t="s">
        <v>18</v>
      </c>
      <c r="F8" s="10">
        <f>11.22*B8</f>
        <v>561</v>
      </c>
      <c r="G8" s="10"/>
      <c r="H8" s="10"/>
      <c r="I8" s="10"/>
      <c r="J8" s="10"/>
      <c r="K8" s="10"/>
      <c r="L8" s="10"/>
      <c r="M8" s="10"/>
      <c r="N8" s="10">
        <f>9.71*B8</f>
        <v>485.50000000000006</v>
      </c>
      <c r="O8" s="10">
        <f>15.5*B8</f>
        <v>775</v>
      </c>
      <c r="P8" s="10">
        <f>10*B8</f>
        <v>500</v>
      </c>
      <c r="Q8" s="10"/>
      <c r="R8" s="10"/>
      <c r="S8" s="10"/>
      <c r="T8" s="10"/>
      <c r="U8" s="10"/>
      <c r="V8" s="10"/>
      <c r="W8" s="10"/>
      <c r="X8" s="10"/>
      <c r="Y8" s="10"/>
      <c r="Z8" s="10"/>
      <c r="AA8" s="10"/>
      <c r="AB8" s="10"/>
      <c r="AC8" s="10"/>
      <c r="AD8" s="10"/>
      <c r="AE8" s="10"/>
      <c r="AF8" s="10"/>
      <c r="AG8" s="10">
        <f>9.9*B8</f>
        <v>495</v>
      </c>
      <c r="AH8" s="6">
        <f t="shared" si="0"/>
        <v>0.216600506074888</v>
      </c>
      <c r="AI8" s="55">
        <f t="shared" si="1"/>
        <v>11.265999999999998</v>
      </c>
      <c r="AJ8" s="8">
        <f t="shared" si="2"/>
        <v>10</v>
      </c>
      <c r="AK8" s="29">
        <f t="shared" si="3"/>
        <v>563.3</v>
      </c>
      <c r="AL8" s="14">
        <f t="shared" si="4"/>
        <v>500</v>
      </c>
    </row>
    <row r="9" spans="1:38" s="3" customFormat="1" ht="33.75">
      <c r="A9" s="18">
        <v>5</v>
      </c>
      <c r="B9" s="23">
        <v>30</v>
      </c>
      <c r="C9" s="23" t="s">
        <v>14</v>
      </c>
      <c r="D9" s="23">
        <v>720690</v>
      </c>
      <c r="E9" s="24" t="s">
        <v>19</v>
      </c>
      <c r="F9" s="10">
        <f>15.67*B9</f>
        <v>470.1</v>
      </c>
      <c r="G9" s="10">
        <f>13.55*B9</f>
        <v>406.5</v>
      </c>
      <c r="H9" s="10"/>
      <c r="I9" s="10"/>
      <c r="J9" s="10"/>
      <c r="K9" s="10"/>
      <c r="L9" s="10"/>
      <c r="M9" s="10"/>
      <c r="N9" s="10"/>
      <c r="O9" s="10"/>
      <c r="P9" s="10"/>
      <c r="Q9" s="10">
        <f>8.69*B9</f>
        <v>260.7</v>
      </c>
      <c r="R9" s="10">
        <f>8.99*B9</f>
        <v>269.7</v>
      </c>
      <c r="S9" s="10"/>
      <c r="T9" s="10"/>
      <c r="U9" s="10"/>
      <c r="V9" s="10"/>
      <c r="W9" s="10"/>
      <c r="X9" s="10"/>
      <c r="Y9" s="10"/>
      <c r="Z9" s="10"/>
      <c r="AA9" s="10"/>
      <c r="AB9" s="10"/>
      <c r="AC9" s="10"/>
      <c r="AD9" s="10"/>
      <c r="AE9" s="10"/>
      <c r="AF9" s="10"/>
      <c r="AG9" s="10">
        <f>10.06*B9</f>
        <v>301.8</v>
      </c>
      <c r="AH9" s="6">
        <f t="shared" si="0"/>
        <v>0.26985624434393324</v>
      </c>
      <c r="AI9" s="8">
        <f t="shared" si="1"/>
        <v>11.392</v>
      </c>
      <c r="AJ9" s="55">
        <f t="shared" si="2"/>
        <v>10.06</v>
      </c>
      <c r="AK9" s="4">
        <f t="shared" si="3"/>
        <v>341.76</v>
      </c>
      <c r="AL9" s="28">
        <f t="shared" si="4"/>
        <v>301.8</v>
      </c>
    </row>
    <row r="10" spans="1:38" s="3" customFormat="1" ht="33.75">
      <c r="A10" s="17">
        <v>6</v>
      </c>
      <c r="B10" s="23">
        <v>40</v>
      </c>
      <c r="C10" s="23" t="s">
        <v>14</v>
      </c>
      <c r="D10" s="23">
        <v>1027182</v>
      </c>
      <c r="E10" s="24" t="s">
        <v>20</v>
      </c>
      <c r="F10" s="10"/>
      <c r="G10" s="10"/>
      <c r="H10" s="10">
        <f>2.8*B10</f>
        <v>112</v>
      </c>
      <c r="I10" s="10"/>
      <c r="J10" s="10">
        <f>4.17*B10</f>
        <v>166.8</v>
      </c>
      <c r="K10" s="10"/>
      <c r="L10" s="10">
        <f>6.04*B10</f>
        <v>241.6</v>
      </c>
      <c r="M10" s="10"/>
      <c r="N10" s="10"/>
      <c r="O10" s="10"/>
      <c r="P10" s="10"/>
      <c r="Q10" s="10">
        <f>6.49*B10</f>
        <v>259.6</v>
      </c>
      <c r="R10" s="10"/>
      <c r="S10" s="10"/>
      <c r="T10" s="10"/>
      <c r="U10" s="10"/>
      <c r="V10" s="10"/>
      <c r="W10" s="10"/>
      <c r="X10" s="10"/>
      <c r="Y10" s="10"/>
      <c r="Z10" s="10"/>
      <c r="AA10" s="10"/>
      <c r="AB10" s="10"/>
      <c r="AC10" s="10"/>
      <c r="AD10" s="10"/>
      <c r="AE10" s="10"/>
      <c r="AF10" s="10"/>
      <c r="AG10" s="10">
        <f>3.93*B10</f>
        <v>157.20000000000002</v>
      </c>
      <c r="AH10" s="6">
        <f t="shared" si="0"/>
        <v>0.3285712831254481</v>
      </c>
      <c r="AI10" s="8">
        <f t="shared" si="1"/>
        <v>4.686</v>
      </c>
      <c r="AJ10" s="55">
        <f t="shared" si="2"/>
        <v>4.17</v>
      </c>
      <c r="AK10" s="4">
        <f t="shared" si="3"/>
        <v>187.44</v>
      </c>
      <c r="AL10" s="28">
        <f t="shared" si="4"/>
        <v>166.8</v>
      </c>
    </row>
    <row r="11" spans="1:38" s="3" customFormat="1" ht="33.75">
      <c r="A11" s="18">
        <v>7</v>
      </c>
      <c r="B11" s="23">
        <v>200</v>
      </c>
      <c r="C11" s="23" t="s">
        <v>14</v>
      </c>
      <c r="D11" s="23">
        <v>1573110</v>
      </c>
      <c r="E11" s="24" t="s">
        <v>21</v>
      </c>
      <c r="F11" s="10">
        <f>2.2*B11</f>
        <v>440.00000000000006</v>
      </c>
      <c r="G11" s="10"/>
      <c r="H11" s="10"/>
      <c r="I11" s="10"/>
      <c r="J11" s="10"/>
      <c r="K11" s="10"/>
      <c r="L11" s="10">
        <f>2.05*B11</f>
        <v>409.99999999999994</v>
      </c>
      <c r="M11" s="10"/>
      <c r="N11" s="10"/>
      <c r="O11" s="10"/>
      <c r="P11" s="10"/>
      <c r="Q11" s="10"/>
      <c r="R11" s="10"/>
      <c r="S11" s="10">
        <f>1.9*B11</f>
        <v>380</v>
      </c>
      <c r="T11" s="10">
        <f>2.54*B11</f>
        <v>508</v>
      </c>
      <c r="U11" s="10"/>
      <c r="V11" s="10"/>
      <c r="W11" s="10"/>
      <c r="X11" s="10"/>
      <c r="Y11" s="10"/>
      <c r="Z11" s="10"/>
      <c r="AA11" s="10"/>
      <c r="AB11" s="10"/>
      <c r="AC11" s="10"/>
      <c r="AD11" s="10"/>
      <c r="AE11" s="10"/>
      <c r="AF11" s="10"/>
      <c r="AG11" s="10">
        <f>2.4*B11</f>
        <v>480</v>
      </c>
      <c r="AH11" s="6">
        <f t="shared" si="0"/>
        <v>0.11636992980862465</v>
      </c>
      <c r="AI11" s="55">
        <f t="shared" si="1"/>
        <v>2.218</v>
      </c>
      <c r="AJ11" s="8">
        <f t="shared" si="2"/>
        <v>2.2</v>
      </c>
      <c r="AK11" s="29">
        <f t="shared" si="3"/>
        <v>443.6</v>
      </c>
      <c r="AL11" s="14">
        <f t="shared" si="4"/>
        <v>440.00000000000006</v>
      </c>
    </row>
    <row r="12" spans="1:38" s="3" customFormat="1" ht="45">
      <c r="A12" s="18">
        <v>8</v>
      </c>
      <c r="B12" s="23">
        <v>150</v>
      </c>
      <c r="C12" s="23" t="s">
        <v>14</v>
      </c>
      <c r="D12" s="23">
        <v>363090</v>
      </c>
      <c r="E12" s="24" t="s">
        <v>22</v>
      </c>
      <c r="F12" s="10"/>
      <c r="G12" s="10">
        <f>4.24*B12</f>
        <v>636</v>
      </c>
      <c r="H12" s="10"/>
      <c r="I12" s="10"/>
      <c r="J12" s="10"/>
      <c r="K12" s="10"/>
      <c r="L12" s="10"/>
      <c r="M12" s="10"/>
      <c r="N12" s="10"/>
      <c r="O12" s="10"/>
      <c r="P12" s="10"/>
      <c r="Q12" s="10"/>
      <c r="R12" s="10"/>
      <c r="S12" s="10"/>
      <c r="T12" s="10"/>
      <c r="U12" s="10">
        <f>2.19*B12</f>
        <v>328.5</v>
      </c>
      <c r="V12" s="10">
        <f>2.36*B12</f>
        <v>354</v>
      </c>
      <c r="W12" s="10">
        <f>2.8*B12</f>
        <v>420</v>
      </c>
      <c r="X12" s="10"/>
      <c r="Y12" s="10"/>
      <c r="Z12" s="10"/>
      <c r="AA12" s="10"/>
      <c r="AB12" s="10"/>
      <c r="AC12" s="10"/>
      <c r="AD12" s="10"/>
      <c r="AE12" s="10"/>
      <c r="AF12" s="10"/>
      <c r="AG12" s="10">
        <f>1.54*B12</f>
        <v>231</v>
      </c>
      <c r="AH12" s="6">
        <f t="shared" si="0"/>
        <v>0.38438532327402897</v>
      </c>
      <c r="AI12" s="8">
        <f t="shared" si="1"/>
        <v>2.626</v>
      </c>
      <c r="AJ12" s="55">
        <f t="shared" si="2"/>
        <v>2.36</v>
      </c>
      <c r="AK12" s="4">
        <f t="shared" si="3"/>
        <v>393.9</v>
      </c>
      <c r="AL12" s="28">
        <f t="shared" si="4"/>
        <v>354</v>
      </c>
    </row>
    <row r="13" spans="1:38" s="3" customFormat="1" ht="56.25">
      <c r="A13" s="18">
        <v>9</v>
      </c>
      <c r="B13" s="23">
        <v>150</v>
      </c>
      <c r="C13" s="23" t="s">
        <v>14</v>
      </c>
      <c r="D13" s="23">
        <v>760714</v>
      </c>
      <c r="E13" s="24" t="s">
        <v>23</v>
      </c>
      <c r="F13" s="10">
        <f>3.91*B13</f>
        <v>586.5</v>
      </c>
      <c r="G13" s="10"/>
      <c r="H13" s="10"/>
      <c r="I13" s="10"/>
      <c r="J13" s="10"/>
      <c r="K13" s="10"/>
      <c r="L13" s="10"/>
      <c r="M13" s="10"/>
      <c r="N13" s="10"/>
      <c r="O13" s="10"/>
      <c r="P13" s="10"/>
      <c r="Q13" s="10">
        <f>2.89*B13</f>
        <v>433.5</v>
      </c>
      <c r="R13" s="10"/>
      <c r="S13" s="10"/>
      <c r="T13" s="10"/>
      <c r="U13" s="10"/>
      <c r="V13" s="10"/>
      <c r="W13" s="10"/>
      <c r="X13" s="10">
        <f>3.35*B13</f>
        <v>502.5</v>
      </c>
      <c r="Y13" s="10">
        <f>3.9*B13</f>
        <v>585</v>
      </c>
      <c r="Z13" s="10"/>
      <c r="AA13" s="10"/>
      <c r="AB13" s="10"/>
      <c r="AC13" s="10"/>
      <c r="AD13" s="10"/>
      <c r="AE13" s="10"/>
      <c r="AF13" s="10"/>
      <c r="AG13" s="10">
        <f>2.67*B13</f>
        <v>400.5</v>
      </c>
      <c r="AH13" s="6">
        <f t="shared" si="0"/>
        <v>0.16981854823232173</v>
      </c>
      <c r="AI13" s="55">
        <f t="shared" si="1"/>
        <v>3.3440000000000003</v>
      </c>
      <c r="AJ13" s="8">
        <f t="shared" si="2"/>
        <v>3.35</v>
      </c>
      <c r="AK13" s="29">
        <f t="shared" si="3"/>
        <v>501.6</v>
      </c>
      <c r="AL13" s="14">
        <f t="shared" si="4"/>
        <v>502.5</v>
      </c>
    </row>
    <row r="14" spans="1:38" s="3" customFormat="1" ht="33.75">
      <c r="A14" s="17">
        <v>10</v>
      </c>
      <c r="B14" s="23">
        <v>250</v>
      </c>
      <c r="C14" s="23" t="s">
        <v>14</v>
      </c>
      <c r="D14" s="23">
        <v>871150</v>
      </c>
      <c r="E14" s="24" t="s">
        <v>24</v>
      </c>
      <c r="F14" s="10"/>
      <c r="G14" s="10"/>
      <c r="H14" s="10"/>
      <c r="I14" s="10"/>
      <c r="J14" s="10"/>
      <c r="K14" s="10"/>
      <c r="L14" s="10">
        <f>0.89*B14</f>
        <v>222.5</v>
      </c>
      <c r="M14" s="10"/>
      <c r="N14" s="10"/>
      <c r="O14" s="10"/>
      <c r="P14" s="10"/>
      <c r="Q14" s="10">
        <f>1.49*B14</f>
        <v>372.5</v>
      </c>
      <c r="R14" s="10"/>
      <c r="S14" s="10">
        <f>1.4*B14</f>
        <v>350</v>
      </c>
      <c r="T14" s="10"/>
      <c r="U14" s="10"/>
      <c r="V14" s="10"/>
      <c r="W14" s="10"/>
      <c r="X14" s="10"/>
      <c r="Y14" s="10"/>
      <c r="Z14" s="10">
        <f>0.7*B14</f>
        <v>175</v>
      </c>
      <c r="AA14" s="10"/>
      <c r="AB14" s="10"/>
      <c r="AC14" s="10"/>
      <c r="AD14" s="10"/>
      <c r="AE14" s="10"/>
      <c r="AF14" s="10"/>
      <c r="AG14" s="10">
        <f>0.75*B14</f>
        <v>187.5</v>
      </c>
      <c r="AH14" s="6">
        <f t="shared" si="0"/>
        <v>0.35582809256912346</v>
      </c>
      <c r="AI14" s="8">
        <f t="shared" si="1"/>
        <v>1.046</v>
      </c>
      <c r="AJ14" s="55">
        <f t="shared" si="2"/>
        <v>0.89</v>
      </c>
      <c r="AK14" s="4">
        <f t="shared" si="3"/>
        <v>261.5</v>
      </c>
      <c r="AL14" s="28">
        <f t="shared" si="4"/>
        <v>222.5</v>
      </c>
    </row>
    <row r="15" spans="1:38" s="3" customFormat="1" ht="33.75">
      <c r="A15" s="18">
        <v>11</v>
      </c>
      <c r="B15" s="27">
        <v>250</v>
      </c>
      <c r="C15" s="27" t="s">
        <v>14</v>
      </c>
      <c r="D15" s="27">
        <v>1532707</v>
      </c>
      <c r="E15" s="16" t="s">
        <v>25</v>
      </c>
      <c r="F15" s="10"/>
      <c r="G15" s="10"/>
      <c r="H15" s="10"/>
      <c r="I15" s="10"/>
      <c r="J15" s="10"/>
      <c r="K15" s="10"/>
      <c r="L15" s="10"/>
      <c r="M15" s="10"/>
      <c r="N15" s="10"/>
      <c r="O15" s="10"/>
      <c r="P15" s="10">
        <f>3*B15</f>
        <v>750</v>
      </c>
      <c r="Q15" s="10"/>
      <c r="R15" s="10"/>
      <c r="S15" s="10"/>
      <c r="T15" s="10"/>
      <c r="U15" s="10"/>
      <c r="V15" s="10"/>
      <c r="W15" s="10"/>
      <c r="X15" s="10"/>
      <c r="Y15" s="10"/>
      <c r="Z15" s="10"/>
      <c r="AA15" s="10">
        <f>1.39*B15</f>
        <v>347.5</v>
      </c>
      <c r="AB15" s="10">
        <f>1.5*B15</f>
        <v>375</v>
      </c>
      <c r="AC15" s="10">
        <f>1.3*B15</f>
        <v>325</v>
      </c>
      <c r="AD15" s="10"/>
      <c r="AE15" s="10"/>
      <c r="AF15" s="10"/>
      <c r="AG15" s="10">
        <f>1.43*B15</f>
        <v>357.5</v>
      </c>
      <c r="AH15" s="6">
        <f t="shared" si="0"/>
        <v>0.4158694055483431</v>
      </c>
      <c r="AI15" s="8">
        <f t="shared" si="1"/>
        <v>1.724</v>
      </c>
      <c r="AJ15" s="55">
        <f t="shared" si="2"/>
        <v>1.43</v>
      </c>
      <c r="AK15" s="4">
        <f t="shared" si="3"/>
        <v>431</v>
      </c>
      <c r="AL15" s="28">
        <f t="shared" si="4"/>
        <v>357.5</v>
      </c>
    </row>
    <row r="16" spans="1:38" s="3" customFormat="1" ht="33.75">
      <c r="A16" s="18">
        <v>12</v>
      </c>
      <c r="B16" s="23">
        <v>250</v>
      </c>
      <c r="C16" s="23" t="s">
        <v>14</v>
      </c>
      <c r="D16" s="23">
        <v>1252305</v>
      </c>
      <c r="E16" s="24" t="s">
        <v>26</v>
      </c>
      <c r="F16" s="10">
        <f>0.25*B16</f>
        <v>62.5</v>
      </c>
      <c r="G16" s="10">
        <f>0.42*B16</f>
        <v>105</v>
      </c>
      <c r="H16" s="10"/>
      <c r="I16" s="10"/>
      <c r="J16" s="10"/>
      <c r="K16" s="10"/>
      <c r="L16" s="10"/>
      <c r="M16" s="10"/>
      <c r="N16" s="10"/>
      <c r="O16" s="10"/>
      <c r="P16" s="10"/>
      <c r="Q16" s="10"/>
      <c r="R16" s="10">
        <f>0.23*B16</f>
        <v>57.5</v>
      </c>
      <c r="S16" s="10"/>
      <c r="T16" s="10"/>
      <c r="U16" s="10"/>
      <c r="V16" s="10"/>
      <c r="W16" s="10"/>
      <c r="X16" s="10"/>
      <c r="Y16" s="10"/>
      <c r="Z16" s="10">
        <f>0.2*B16</f>
        <v>50</v>
      </c>
      <c r="AA16" s="10"/>
      <c r="AB16" s="10"/>
      <c r="AC16" s="10"/>
      <c r="AD16" s="10"/>
      <c r="AE16" s="10"/>
      <c r="AF16" s="10"/>
      <c r="AG16" s="10">
        <f>0.39*B16</f>
        <v>97.5</v>
      </c>
      <c r="AH16" s="6">
        <f t="shared" si="0"/>
        <v>0.33506673600984205</v>
      </c>
      <c r="AI16" s="8">
        <f t="shared" si="1"/>
        <v>0.298</v>
      </c>
      <c r="AJ16" s="55">
        <f t="shared" si="2"/>
        <v>0.25</v>
      </c>
      <c r="AK16" s="4">
        <f t="shared" si="3"/>
        <v>74.5</v>
      </c>
      <c r="AL16" s="28">
        <f t="shared" si="4"/>
        <v>62.5</v>
      </c>
    </row>
    <row r="17" spans="1:38" s="3" customFormat="1" ht="22.5">
      <c r="A17" s="18">
        <v>13</v>
      </c>
      <c r="B17" s="23">
        <v>60</v>
      </c>
      <c r="C17" s="23" t="s">
        <v>13</v>
      </c>
      <c r="D17" s="23">
        <v>244473</v>
      </c>
      <c r="E17" s="24" t="s">
        <v>27</v>
      </c>
      <c r="F17" s="10"/>
      <c r="G17" s="10"/>
      <c r="H17" s="10"/>
      <c r="I17" s="10"/>
      <c r="J17" s="10"/>
      <c r="K17" s="10"/>
      <c r="L17" s="10"/>
      <c r="M17" s="10"/>
      <c r="N17" s="10"/>
      <c r="O17" s="10"/>
      <c r="P17" s="10"/>
      <c r="Q17" s="10"/>
      <c r="R17" s="10"/>
      <c r="S17" s="10"/>
      <c r="T17" s="10"/>
      <c r="U17" s="10"/>
      <c r="V17" s="10"/>
      <c r="W17" s="10"/>
      <c r="X17" s="10"/>
      <c r="Y17" s="10"/>
      <c r="Z17" s="10">
        <f>53.75/5*B17</f>
        <v>645</v>
      </c>
      <c r="AA17" s="10"/>
      <c r="AB17" s="10"/>
      <c r="AC17" s="10">
        <f>210/30*B17</f>
        <v>420</v>
      </c>
      <c r="AD17" s="10">
        <f>6.39*B17</f>
        <v>383.4</v>
      </c>
      <c r="AE17" s="10">
        <f>9.5*B17</f>
        <v>570</v>
      </c>
      <c r="AF17" s="10"/>
      <c r="AG17" s="10">
        <f>5.67*B17</f>
        <v>340.2</v>
      </c>
      <c r="AH17" s="6">
        <f t="shared" si="0"/>
        <v>0.2752972207038927</v>
      </c>
      <c r="AI17" s="8">
        <f t="shared" si="1"/>
        <v>7.861999999999999</v>
      </c>
      <c r="AJ17" s="55">
        <f t="shared" si="2"/>
        <v>7</v>
      </c>
      <c r="AK17" s="4">
        <f t="shared" si="3"/>
        <v>471.71999999999997</v>
      </c>
      <c r="AL17" s="28">
        <f t="shared" si="4"/>
        <v>420</v>
      </c>
    </row>
    <row r="18" spans="1:38" s="3" customFormat="1" ht="56.25">
      <c r="A18" s="18">
        <v>14</v>
      </c>
      <c r="B18" s="27">
        <v>60</v>
      </c>
      <c r="C18" s="26" t="s">
        <v>13</v>
      </c>
      <c r="D18" s="27">
        <v>1194585</v>
      </c>
      <c r="E18" s="16" t="s">
        <v>28</v>
      </c>
      <c r="F18" s="10">
        <f>4.24*B18</f>
        <v>254.4</v>
      </c>
      <c r="G18" s="10">
        <f>5.51*B18</f>
        <v>330.59999999999997</v>
      </c>
      <c r="H18" s="10"/>
      <c r="I18" s="10"/>
      <c r="J18" s="10"/>
      <c r="K18" s="10"/>
      <c r="L18" s="10"/>
      <c r="M18" s="10"/>
      <c r="N18" s="10"/>
      <c r="O18" s="10"/>
      <c r="P18" s="10">
        <f>4*B18</f>
        <v>240</v>
      </c>
      <c r="Q18" s="10"/>
      <c r="R18" s="10"/>
      <c r="S18" s="10"/>
      <c r="T18" s="10"/>
      <c r="U18" s="10"/>
      <c r="V18" s="10"/>
      <c r="W18" s="10"/>
      <c r="X18" s="10"/>
      <c r="Y18" s="10"/>
      <c r="Z18" s="10"/>
      <c r="AA18" s="10"/>
      <c r="AB18" s="10"/>
      <c r="AC18" s="10"/>
      <c r="AD18" s="10"/>
      <c r="AE18" s="10"/>
      <c r="AF18" s="10">
        <f>3.49*B18</f>
        <v>209.4</v>
      </c>
      <c r="AG18" s="10">
        <f>8.67*B18</f>
        <v>520.2</v>
      </c>
      <c r="AH18" s="6">
        <f t="shared" si="0"/>
        <v>0.40272643088504156</v>
      </c>
      <c r="AI18" s="8">
        <f t="shared" si="1"/>
        <v>5.182</v>
      </c>
      <c r="AJ18" s="55">
        <f t="shared" si="2"/>
        <v>4.24</v>
      </c>
      <c r="AK18" s="4">
        <f t="shared" si="3"/>
        <v>310.92</v>
      </c>
      <c r="AL18" s="28">
        <f t="shared" si="4"/>
        <v>254.4</v>
      </c>
    </row>
    <row r="19" spans="1:38" s="3" customFormat="1" ht="45">
      <c r="A19" s="18">
        <v>15</v>
      </c>
      <c r="B19" s="23">
        <v>30</v>
      </c>
      <c r="C19" s="23" t="s">
        <v>14</v>
      </c>
      <c r="D19" s="23">
        <v>1586963</v>
      </c>
      <c r="E19" s="24" t="s">
        <v>29</v>
      </c>
      <c r="F19" s="10">
        <f>4.9*B19</f>
        <v>147</v>
      </c>
      <c r="G19" s="10"/>
      <c r="H19" s="10"/>
      <c r="I19" s="10"/>
      <c r="J19" s="10"/>
      <c r="K19" s="10"/>
      <c r="L19" s="10">
        <f>3.94*B19</f>
        <v>118.2</v>
      </c>
      <c r="M19" s="10"/>
      <c r="N19" s="10"/>
      <c r="O19" s="10"/>
      <c r="P19" s="10">
        <f>5*B19</f>
        <v>150</v>
      </c>
      <c r="Q19" s="10">
        <f>4.99*B19</f>
        <v>149.70000000000002</v>
      </c>
      <c r="R19" s="10"/>
      <c r="S19" s="10"/>
      <c r="T19" s="10"/>
      <c r="U19" s="10"/>
      <c r="V19" s="10"/>
      <c r="W19" s="10"/>
      <c r="X19" s="10"/>
      <c r="Y19" s="10"/>
      <c r="Z19" s="10"/>
      <c r="AA19" s="10"/>
      <c r="AB19" s="10"/>
      <c r="AC19" s="10"/>
      <c r="AD19" s="10"/>
      <c r="AE19" s="10"/>
      <c r="AF19" s="10"/>
      <c r="AG19" s="10">
        <f>7.48*B19</f>
        <v>224.4</v>
      </c>
      <c r="AH19" s="6">
        <f t="shared" si="0"/>
        <v>0.25033779844978754</v>
      </c>
      <c r="AI19" s="8">
        <f t="shared" si="1"/>
        <v>5.262</v>
      </c>
      <c r="AJ19" s="55">
        <f t="shared" si="2"/>
        <v>4.99</v>
      </c>
      <c r="AK19" s="4">
        <f t="shared" si="3"/>
        <v>157.85999999999999</v>
      </c>
      <c r="AL19" s="28">
        <f t="shared" si="4"/>
        <v>149.70000000000002</v>
      </c>
    </row>
    <row r="20" spans="1:38" s="3" customFormat="1" ht="45">
      <c r="A20" s="18">
        <v>16</v>
      </c>
      <c r="B20" s="23">
        <v>30</v>
      </c>
      <c r="C20" s="23" t="s">
        <v>14</v>
      </c>
      <c r="D20" s="25">
        <v>760218</v>
      </c>
      <c r="E20" s="24" t="s">
        <v>30</v>
      </c>
      <c r="F20" s="10">
        <f>8.55*B20</f>
        <v>256.5</v>
      </c>
      <c r="G20" s="10">
        <f>11.27*B20</f>
        <v>338.09999999999997</v>
      </c>
      <c r="H20" s="10"/>
      <c r="I20" s="10"/>
      <c r="J20" s="10"/>
      <c r="K20" s="10"/>
      <c r="L20" s="10">
        <f>7.16*B20</f>
        <v>214.8</v>
      </c>
      <c r="M20" s="10"/>
      <c r="N20" s="10"/>
      <c r="O20" s="10"/>
      <c r="P20" s="10"/>
      <c r="Q20" s="10"/>
      <c r="R20" s="10"/>
      <c r="S20" s="10"/>
      <c r="T20" s="10"/>
      <c r="U20" s="10"/>
      <c r="V20" s="10"/>
      <c r="W20" s="10"/>
      <c r="X20" s="10"/>
      <c r="Y20" s="10"/>
      <c r="Z20" s="10">
        <f>8.3*B20</f>
        <v>249.00000000000003</v>
      </c>
      <c r="AA20" s="10"/>
      <c r="AB20" s="10"/>
      <c r="AC20" s="10"/>
      <c r="AD20" s="10"/>
      <c r="AE20" s="10"/>
      <c r="AF20" s="10"/>
      <c r="AG20" s="10">
        <f>9.55*B20</f>
        <v>286.5</v>
      </c>
      <c r="AH20" s="6">
        <f t="shared" si="0"/>
        <v>0.17213364397581046</v>
      </c>
      <c r="AI20" s="55">
        <f t="shared" si="1"/>
        <v>8.966</v>
      </c>
      <c r="AJ20" s="8">
        <f t="shared" si="2"/>
        <v>8.55</v>
      </c>
      <c r="AK20" s="29">
        <f t="shared" si="3"/>
        <v>268.97999999999996</v>
      </c>
      <c r="AL20" s="14">
        <f t="shared" si="4"/>
        <v>256.5</v>
      </c>
    </row>
    <row r="21" spans="1:38" s="3" customFormat="1" ht="19.5" customHeight="1">
      <c r="A21" s="18"/>
      <c r="B21" s="12"/>
      <c r="C21" s="12"/>
      <c r="D21" s="12"/>
      <c r="E21" s="13"/>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33" t="s">
        <v>32</v>
      </c>
      <c r="AI21" s="34"/>
      <c r="AJ21" s="34"/>
      <c r="AK21" s="35"/>
      <c r="AL21" s="30">
        <f>AL5+AL6+AL7+AK8+AL9+AL10+AK11+AL12+AK13+AL14+AL15+AL16+AL17+AL18+AL19+AK20</f>
        <v>5139.679999999999</v>
      </c>
    </row>
    <row r="22" spans="1:38" s="3" customFormat="1" ht="102.75" customHeight="1" hidden="1">
      <c r="A22" s="36" t="s">
        <v>60</v>
      </c>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row>
    <row r="27" ht="32.25" customHeight="1"/>
    <row r="28" ht="12.75" customHeight="1"/>
  </sheetData>
  <sheetProtection/>
  <mergeCells count="14">
    <mergeCell ref="F3:AF3"/>
    <mergeCell ref="E3:E4"/>
    <mergeCell ref="AK3:AL3"/>
    <mergeCell ref="AG3:AG4"/>
    <mergeCell ref="AH21:AK21"/>
    <mergeCell ref="A22:AL22"/>
    <mergeCell ref="AH3:AH4"/>
    <mergeCell ref="D3:D4"/>
    <mergeCell ref="C3:C4"/>
    <mergeCell ref="A1:AL1"/>
    <mergeCell ref="AI3:AJ3"/>
    <mergeCell ref="A3:A4"/>
    <mergeCell ref="B3:B4"/>
    <mergeCell ref="A2:AL2"/>
  </mergeCells>
  <printOptions horizontalCentered="1"/>
  <pageMargins left="0.27569444444444446" right="0.19652777777777777" top="0.15763888888888888" bottom="0.2361111111111111" header="0.5118055555555555" footer="0.5118055555555555"/>
  <pageSetup fitToHeight="1" fitToWidth="1" horizontalDpi="300" verticalDpi="300" orientation="landscape" paperSize="9" scale="80" r:id="rId4"/>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showOutlineSymbols="0" view="pageBreakPreview" zoomScale="75" zoomScaleNormal="80" zoomScaleSheetLayoutView="75" zoomScalePageLayoutView="0" workbookViewId="0" topLeftCell="A1">
      <selection activeCell="A1" sqref="A1"/>
    </sheetView>
  </sheetViews>
  <sheetFormatPr defaultColWidth="11.421875" defaultRowHeight="12.75"/>
  <sheetData/>
  <sheetProtection/>
  <printOptions gridLines="1"/>
  <pageMargins left="0.7479166666666667" right="0.7479166666666667" top="0.9840277777777777" bottom="0.9840277777777777" header="0.49236111111111114" footer="0.49236111111111114"/>
  <pageSetup horizontalDpi="300" verticalDpi="300" orientation="portrait" paperSize="9" r:id="rId1"/>
  <headerFooter alignWithMargins="0">
    <oddHeader>&amp;C&amp;A</oddHeader>
    <oddFooter>&amp;CPágina &amp;P</oddFooter>
  </headerFooter>
</worksheet>
</file>

<file path=xl/worksheets/sheet11.xml><?xml version="1.0" encoding="utf-8"?>
<worksheet xmlns="http://schemas.openxmlformats.org/spreadsheetml/2006/main" xmlns:r="http://schemas.openxmlformats.org/officeDocument/2006/relationships">
  <dimension ref="A1:A1"/>
  <sheetViews>
    <sheetView showOutlineSymbols="0" view="pageBreakPreview" zoomScale="75" zoomScaleNormal="80" zoomScaleSheetLayoutView="75" zoomScalePageLayoutView="0" workbookViewId="0" topLeftCell="A1">
      <selection activeCell="A1" sqref="A1"/>
    </sheetView>
  </sheetViews>
  <sheetFormatPr defaultColWidth="11.421875" defaultRowHeight="12.75"/>
  <sheetData/>
  <sheetProtection/>
  <printOptions gridLines="1"/>
  <pageMargins left="0.7479166666666667" right="0.7479166666666667" top="0.9840277777777777" bottom="0.9840277777777777" header="0.49236111111111114" footer="0.49236111111111114"/>
  <pageSetup horizontalDpi="300" verticalDpi="300" orientation="portrait" paperSize="9" r:id="rId1"/>
  <headerFooter alignWithMargins="0">
    <oddHeader>&amp;C&amp;A</oddHeader>
    <oddFooter>&amp;CPágina &amp;P</oddFooter>
  </headerFooter>
</worksheet>
</file>

<file path=xl/worksheets/sheet12.xml><?xml version="1.0" encoding="utf-8"?>
<worksheet xmlns="http://schemas.openxmlformats.org/spreadsheetml/2006/main" xmlns:r="http://schemas.openxmlformats.org/officeDocument/2006/relationships">
  <dimension ref="A1:A1"/>
  <sheetViews>
    <sheetView showOutlineSymbols="0" view="pageBreakPreview" zoomScale="75" zoomScaleNormal="80" zoomScaleSheetLayoutView="75" zoomScalePageLayoutView="0" workbookViewId="0" topLeftCell="A1">
      <selection activeCell="A1" sqref="A1"/>
    </sheetView>
  </sheetViews>
  <sheetFormatPr defaultColWidth="11.421875" defaultRowHeight="12.75"/>
  <sheetData/>
  <sheetProtection/>
  <printOptions gridLines="1"/>
  <pageMargins left="0.7479166666666667" right="0.7479166666666667" top="0.9840277777777777" bottom="0.9840277777777777" header="0.49236111111111114" footer="0.49236111111111114"/>
  <pageSetup horizontalDpi="300" verticalDpi="300" orientation="portrait" paperSize="9" r:id="rId1"/>
  <headerFooter alignWithMargins="0">
    <oddHeader>&amp;C&amp;A</oddHeader>
    <oddFooter>&amp;CPágina &amp;P</oddFooter>
  </headerFooter>
</worksheet>
</file>

<file path=xl/worksheets/sheet13.xml><?xml version="1.0" encoding="utf-8"?>
<worksheet xmlns="http://schemas.openxmlformats.org/spreadsheetml/2006/main" xmlns:r="http://schemas.openxmlformats.org/officeDocument/2006/relationships">
  <dimension ref="A1:A1"/>
  <sheetViews>
    <sheetView showOutlineSymbols="0" view="pageBreakPreview" zoomScale="75" zoomScaleNormal="80" zoomScaleSheetLayoutView="75" zoomScalePageLayoutView="0" workbookViewId="0" topLeftCell="A1">
      <selection activeCell="A1" sqref="A1"/>
    </sheetView>
  </sheetViews>
  <sheetFormatPr defaultColWidth="11.421875" defaultRowHeight="12.75"/>
  <sheetData/>
  <sheetProtection/>
  <printOptions gridLines="1"/>
  <pageMargins left="0.7479166666666667" right="0.7479166666666667" top="0.9840277777777777" bottom="0.9840277777777777" header="0.49236111111111114" footer="0.49236111111111114"/>
  <pageSetup horizontalDpi="300" verticalDpi="300" orientation="portrait" paperSize="9" r:id="rId1"/>
  <headerFooter alignWithMargins="0">
    <oddHeader>&amp;C&amp;A</oddHeader>
    <oddFooter>&amp;CPágina &amp;P</oddFooter>
  </headerFooter>
</worksheet>
</file>

<file path=xl/worksheets/sheet14.xml><?xml version="1.0" encoding="utf-8"?>
<worksheet xmlns="http://schemas.openxmlformats.org/spreadsheetml/2006/main" xmlns:r="http://schemas.openxmlformats.org/officeDocument/2006/relationships">
  <dimension ref="A1:A1"/>
  <sheetViews>
    <sheetView showOutlineSymbols="0" view="pageBreakPreview" zoomScale="75" zoomScaleNormal="80" zoomScaleSheetLayoutView="75" zoomScalePageLayoutView="0" workbookViewId="0" topLeftCell="A1">
      <selection activeCell="A1" sqref="A1"/>
    </sheetView>
  </sheetViews>
  <sheetFormatPr defaultColWidth="11.421875" defaultRowHeight="12.75"/>
  <sheetData/>
  <sheetProtection/>
  <printOptions gridLines="1"/>
  <pageMargins left="0.7479166666666667" right="0.7479166666666667" top="0.9840277777777777" bottom="0.9840277777777777" header="0.49236111111111114" footer="0.49236111111111114"/>
  <pageSetup horizontalDpi="300" verticalDpi="300" orientation="portrait" paperSize="9" r:id="rId1"/>
  <headerFooter alignWithMargins="0">
    <oddHeader>&amp;C&amp;A</oddHeader>
    <oddFooter>&amp;CPágina &amp;P</oddFooter>
  </headerFooter>
</worksheet>
</file>

<file path=xl/worksheets/sheet15.xml><?xml version="1.0" encoding="utf-8"?>
<worksheet xmlns="http://schemas.openxmlformats.org/spreadsheetml/2006/main" xmlns:r="http://schemas.openxmlformats.org/officeDocument/2006/relationships">
  <dimension ref="A1:A1"/>
  <sheetViews>
    <sheetView showOutlineSymbols="0" view="pageBreakPreview" zoomScale="75" zoomScaleNormal="80" zoomScaleSheetLayoutView="75" zoomScalePageLayoutView="0" workbookViewId="0" topLeftCell="A1">
      <selection activeCell="A1" sqref="A1:B1"/>
    </sheetView>
  </sheetViews>
  <sheetFormatPr defaultColWidth="11.421875" defaultRowHeight="12.75"/>
  <sheetData/>
  <sheetProtection/>
  <printOptions gridLines="1"/>
  <pageMargins left="0.7479166666666667" right="0.7479166666666667" top="0.9840277777777777" bottom="0.9840277777777777" header="0.49236111111111114" footer="0.49236111111111114"/>
  <pageSetup horizontalDpi="300" verticalDpi="300" orientation="portrait" paperSize="9" r:id="rId1"/>
  <headerFooter alignWithMargins="0">
    <oddHeader>&amp;C&amp;A</oddHeader>
    <oddFooter>&amp;CPágina &amp;P</oddFooter>
  </headerFooter>
</worksheet>
</file>

<file path=xl/worksheets/sheet16.xml><?xml version="1.0" encoding="utf-8"?>
<worksheet xmlns="http://schemas.openxmlformats.org/spreadsheetml/2006/main" xmlns:r="http://schemas.openxmlformats.org/officeDocument/2006/relationships">
  <dimension ref="A1:A1"/>
  <sheetViews>
    <sheetView showOutlineSymbols="0" view="pageBreakPreview" zoomScale="75" zoomScaleNormal="80" zoomScaleSheetLayoutView="75" zoomScalePageLayoutView="0" workbookViewId="0" topLeftCell="A1">
      <selection activeCell="A1" sqref="A1"/>
    </sheetView>
  </sheetViews>
  <sheetFormatPr defaultColWidth="11.421875" defaultRowHeight="12.75"/>
  <sheetData/>
  <sheetProtection/>
  <printOptions gridLines="1"/>
  <pageMargins left="0.7479166666666667" right="0.7479166666666667" top="0.9840277777777777" bottom="0.9840277777777777" header="0.49236111111111114" footer="0.49236111111111114"/>
  <pageSetup horizontalDpi="300" verticalDpi="300" orientation="portrait" paperSize="9" r:id="rId1"/>
  <headerFooter alignWithMargins="0">
    <oddHeader>&amp;C&amp;A</oddHeader>
    <oddFooter>&amp;CPágina &amp;P</oddFooter>
  </headerFooter>
</worksheet>
</file>

<file path=xl/worksheets/sheet2.xml><?xml version="1.0" encoding="utf-8"?>
<worksheet xmlns="http://schemas.openxmlformats.org/spreadsheetml/2006/main" xmlns:r="http://schemas.openxmlformats.org/officeDocument/2006/relationships">
  <dimension ref="A1:A1"/>
  <sheetViews>
    <sheetView showOutlineSymbols="0" view="pageBreakPreview" zoomScale="75" zoomScaleNormal="80" zoomScaleSheetLayoutView="75" zoomScalePageLayoutView="0" workbookViewId="0" topLeftCell="A1">
      <selection activeCell="A1" sqref="A1:B1"/>
    </sheetView>
  </sheetViews>
  <sheetFormatPr defaultColWidth="11.421875" defaultRowHeight="12.75"/>
  <sheetData/>
  <sheetProtection/>
  <printOptions gridLines="1"/>
  <pageMargins left="0.7479166666666667" right="0.7479166666666667" top="0.9840277777777777" bottom="0.9840277777777777" header="0.49236111111111114" footer="0.49236111111111114"/>
  <pageSetup horizontalDpi="300" verticalDpi="300" orientation="portrait" paperSize="9" r:id="rId1"/>
  <headerFooter alignWithMargins="0">
    <oddHeader>&amp;C&amp;A</oddHeader>
    <oddFooter>&amp;CPágina &amp;P</oddFooter>
  </headerFooter>
</worksheet>
</file>

<file path=xl/worksheets/sheet3.xml><?xml version="1.0" encoding="utf-8"?>
<worksheet xmlns="http://schemas.openxmlformats.org/spreadsheetml/2006/main" xmlns:r="http://schemas.openxmlformats.org/officeDocument/2006/relationships">
  <dimension ref="A1:A1"/>
  <sheetViews>
    <sheetView showOutlineSymbols="0" view="pageBreakPreview" zoomScale="75" zoomScaleNormal="80" zoomScaleSheetLayoutView="75" zoomScalePageLayoutView="0" workbookViewId="0" topLeftCell="A1">
      <selection activeCell="A1" sqref="A1"/>
    </sheetView>
  </sheetViews>
  <sheetFormatPr defaultColWidth="11.421875" defaultRowHeight="12.75"/>
  <sheetData/>
  <sheetProtection/>
  <printOptions gridLines="1"/>
  <pageMargins left="0.7479166666666667" right="0.7479166666666667" top="0.9840277777777777" bottom="0.9840277777777777" header="0.49236111111111114" footer="0.49236111111111114"/>
  <pageSetup horizontalDpi="300" verticalDpi="300" orientation="portrait" paperSize="9" r:id="rId1"/>
  <headerFooter alignWithMargins="0">
    <oddHeader>&amp;C&amp;A</oddHeader>
    <oddFooter>&amp;CPágina &amp;P</oddFooter>
  </headerFooter>
</worksheet>
</file>

<file path=xl/worksheets/sheet4.xml><?xml version="1.0" encoding="utf-8"?>
<worksheet xmlns="http://schemas.openxmlformats.org/spreadsheetml/2006/main" xmlns:r="http://schemas.openxmlformats.org/officeDocument/2006/relationships">
  <dimension ref="A1:A1"/>
  <sheetViews>
    <sheetView showOutlineSymbols="0" view="pageBreakPreview" zoomScale="75" zoomScaleNormal="80" zoomScaleSheetLayoutView="75" zoomScalePageLayoutView="0" workbookViewId="0" topLeftCell="A1">
      <selection activeCell="A1" sqref="A1"/>
    </sheetView>
  </sheetViews>
  <sheetFormatPr defaultColWidth="11.421875" defaultRowHeight="12.75"/>
  <sheetData/>
  <sheetProtection/>
  <printOptions gridLines="1"/>
  <pageMargins left="0.7479166666666667" right="0.7479166666666667" top="0.9840277777777777" bottom="0.9840277777777777" header="0.49236111111111114" footer="0.49236111111111114"/>
  <pageSetup horizontalDpi="300" verticalDpi="300" orientation="portrait" paperSize="9" r:id="rId1"/>
  <headerFooter alignWithMargins="0">
    <oddHeader>&amp;C&amp;A</oddHeader>
    <oddFooter>&amp;CPágina &amp;P</oddFooter>
  </headerFooter>
</worksheet>
</file>

<file path=xl/worksheets/sheet5.xml><?xml version="1.0" encoding="utf-8"?>
<worksheet xmlns="http://schemas.openxmlformats.org/spreadsheetml/2006/main" xmlns:r="http://schemas.openxmlformats.org/officeDocument/2006/relationships">
  <dimension ref="A1:A1"/>
  <sheetViews>
    <sheetView showOutlineSymbols="0" view="pageBreakPreview" zoomScale="75" zoomScaleNormal="80" zoomScaleSheetLayoutView="75" zoomScalePageLayoutView="0" workbookViewId="0" topLeftCell="A1">
      <selection activeCell="A1" sqref="A1"/>
    </sheetView>
  </sheetViews>
  <sheetFormatPr defaultColWidth="11.421875" defaultRowHeight="12.75"/>
  <sheetData/>
  <sheetProtection/>
  <printOptions gridLines="1"/>
  <pageMargins left="0.7479166666666667" right="0.7479166666666667" top="0.9840277777777777" bottom="0.9840277777777777" header="0.49236111111111114" footer="0.49236111111111114"/>
  <pageSetup horizontalDpi="300" verticalDpi="300" orientation="portrait" paperSize="9" r:id="rId1"/>
  <headerFooter alignWithMargins="0">
    <oddHeader>&amp;C&amp;A</oddHeader>
    <oddFooter>&amp;CPágina &amp;P</oddFooter>
  </headerFooter>
</worksheet>
</file>

<file path=xl/worksheets/sheet6.xml><?xml version="1.0" encoding="utf-8"?>
<worksheet xmlns="http://schemas.openxmlformats.org/spreadsheetml/2006/main" xmlns:r="http://schemas.openxmlformats.org/officeDocument/2006/relationships">
  <dimension ref="A1:A1"/>
  <sheetViews>
    <sheetView showOutlineSymbols="0" view="pageBreakPreview" zoomScale="75" zoomScaleNormal="80" zoomScaleSheetLayoutView="75" zoomScalePageLayoutView="0" workbookViewId="0" topLeftCell="A1">
      <selection activeCell="A1" sqref="A1"/>
    </sheetView>
  </sheetViews>
  <sheetFormatPr defaultColWidth="11.421875" defaultRowHeight="12.75"/>
  <sheetData/>
  <sheetProtection/>
  <printOptions gridLines="1"/>
  <pageMargins left="0.7479166666666667" right="0.7479166666666667" top="0.9840277777777777" bottom="0.9840277777777777" header="0.49236111111111114" footer="0.49236111111111114"/>
  <pageSetup horizontalDpi="300" verticalDpi="300" orientation="portrait" paperSize="9" r:id="rId1"/>
  <headerFooter alignWithMargins="0">
    <oddHeader>&amp;C&amp;A</oddHeader>
    <oddFooter>&amp;CPágina &amp;P</oddFooter>
  </headerFooter>
</worksheet>
</file>

<file path=xl/worksheets/sheet7.xml><?xml version="1.0" encoding="utf-8"?>
<worksheet xmlns="http://schemas.openxmlformats.org/spreadsheetml/2006/main" xmlns:r="http://schemas.openxmlformats.org/officeDocument/2006/relationships">
  <dimension ref="A1:A1"/>
  <sheetViews>
    <sheetView showOutlineSymbols="0" view="pageBreakPreview" zoomScale="75" zoomScaleNormal="80" zoomScaleSheetLayoutView="75" zoomScalePageLayoutView="0" workbookViewId="0" topLeftCell="A1">
      <selection activeCell="A1" sqref="A1"/>
    </sheetView>
  </sheetViews>
  <sheetFormatPr defaultColWidth="11.421875" defaultRowHeight="12.75"/>
  <sheetData/>
  <sheetProtection/>
  <printOptions gridLines="1"/>
  <pageMargins left="0.7479166666666667" right="0.7479166666666667" top="0.9840277777777777" bottom="0.9840277777777777" header="0.49236111111111114" footer="0.49236111111111114"/>
  <pageSetup horizontalDpi="300" verticalDpi="300" orientation="portrait" paperSize="9" r:id="rId1"/>
  <headerFooter alignWithMargins="0">
    <oddHeader>&amp;C&amp;A</oddHeader>
    <oddFooter>&amp;CPágina &amp;P</oddFooter>
  </headerFooter>
</worksheet>
</file>

<file path=xl/worksheets/sheet8.xml><?xml version="1.0" encoding="utf-8"?>
<worksheet xmlns="http://schemas.openxmlformats.org/spreadsheetml/2006/main" xmlns:r="http://schemas.openxmlformats.org/officeDocument/2006/relationships">
  <dimension ref="A1:A1"/>
  <sheetViews>
    <sheetView showOutlineSymbols="0" view="pageBreakPreview" zoomScale="75" zoomScaleNormal="80" zoomScaleSheetLayoutView="75" zoomScalePageLayoutView="0" workbookViewId="0" topLeftCell="A1">
      <selection activeCell="A1" sqref="A1"/>
    </sheetView>
  </sheetViews>
  <sheetFormatPr defaultColWidth="11.421875" defaultRowHeight="12.75"/>
  <sheetData/>
  <sheetProtection/>
  <printOptions gridLines="1"/>
  <pageMargins left="0.7479166666666667" right="0.7479166666666667" top="0.9840277777777777" bottom="0.9840277777777777" header="0.49236111111111114" footer="0.49236111111111114"/>
  <pageSetup horizontalDpi="300" verticalDpi="300" orientation="portrait" paperSize="9" r:id="rId1"/>
  <headerFooter alignWithMargins="0">
    <oddHeader>&amp;C&amp;A</oddHeader>
    <oddFooter>&amp;CPágina &amp;P</oddFooter>
  </headerFooter>
</worksheet>
</file>

<file path=xl/worksheets/sheet9.xml><?xml version="1.0" encoding="utf-8"?>
<worksheet xmlns="http://schemas.openxmlformats.org/spreadsheetml/2006/main" xmlns:r="http://schemas.openxmlformats.org/officeDocument/2006/relationships">
  <dimension ref="A1:A1"/>
  <sheetViews>
    <sheetView showOutlineSymbols="0" view="pageBreakPreview" zoomScale="75" zoomScaleNormal="80" zoomScaleSheetLayoutView="75" zoomScalePageLayoutView="0" workbookViewId="0" topLeftCell="A1">
      <selection activeCell="A1" sqref="A1"/>
    </sheetView>
  </sheetViews>
  <sheetFormatPr defaultColWidth="11.421875" defaultRowHeight="12.75"/>
  <sheetData/>
  <sheetProtection/>
  <printOptions gridLines="1"/>
  <pageMargins left="0.7479166666666667" right="0.7479166666666667" top="0.9840277777777777" bottom="0.9840277777777777" header="0.49236111111111114" footer="0.49236111111111114"/>
  <pageSetup horizontalDpi="300" verticalDpi="300" orientation="portrait" paperSize="9" r:id="rId1"/>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Pgjmg</dc:creator>
  <cp:keywords/>
  <dc:description/>
  <cp:lastModifiedBy>user</cp:lastModifiedBy>
  <cp:lastPrinted>2019-08-14T17:55:57Z</cp:lastPrinted>
  <dcterms:created xsi:type="dcterms:W3CDTF">2011-03-04T12:16:52Z</dcterms:created>
  <dcterms:modified xsi:type="dcterms:W3CDTF">2022-01-13T20:56:49Z</dcterms:modified>
  <cp:category/>
  <cp:version/>
  <cp:contentType/>
  <cp:contentStatus/>
</cp:coreProperties>
</file>