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490" windowHeight="7485" activeTab="0"/>
  </bookViews>
  <sheets>
    <sheet name="Plan1" sheetId="1" r:id="rId1"/>
    <sheet name="Plan2" sheetId="2" r:id="rId2"/>
    <sheet name="Plan3" sheetId="3" r:id="rId3"/>
    <sheet name="Plan4" sheetId="4" r:id="rId4"/>
    <sheet name="Plan5" sheetId="5" r:id="rId5"/>
    <sheet name="Plan6" sheetId="6" r:id="rId6"/>
    <sheet name="Plan7" sheetId="7" r:id="rId7"/>
    <sheet name="Plan8" sheetId="8" r:id="rId8"/>
    <sheet name="Plan9" sheetId="9" r:id="rId9"/>
    <sheet name="Plan10" sheetId="10" r:id="rId10"/>
    <sheet name="Plan11" sheetId="11" r:id="rId11"/>
    <sheet name="Plan12" sheetId="12" r:id="rId12"/>
    <sheet name="Plan13" sheetId="13" r:id="rId13"/>
    <sheet name="Plan14" sheetId="14" r:id="rId14"/>
    <sheet name="Plan15" sheetId="15" r:id="rId15"/>
    <sheet name="Plan16" sheetId="16" r:id="rId16"/>
  </sheets>
  <definedNames>
    <definedName name="_xlfn.STDEV.S" hidden="1">#NAME?</definedName>
    <definedName name="_xlnm.Print_Area" localSheetId="0">#N/A</definedName>
  </definedNames>
  <calcPr fullCalcOnLoad="1"/>
</workbook>
</file>

<file path=xl/sharedStrings.xml><?xml version="1.0" encoding="utf-8"?>
<sst xmlns="http://schemas.openxmlformats.org/spreadsheetml/2006/main" count="71" uniqueCount="58">
  <si>
    <t>DESCRIÇÃO</t>
  </si>
  <si>
    <t>Quant.</t>
  </si>
  <si>
    <t>Coeficiente de Variação</t>
  </si>
  <si>
    <t>Item</t>
  </si>
  <si>
    <t>Preço total - Média</t>
  </si>
  <si>
    <t>Preço total - Mediana</t>
  </si>
  <si>
    <t>Preço unitário - Média</t>
  </si>
  <si>
    <t>PREÇO UNITÁRIO</t>
  </si>
  <si>
    <t>PREÇO TOTAL</t>
  </si>
  <si>
    <t>Preço unitário - Mediana</t>
  </si>
  <si>
    <t>Internet</t>
  </si>
  <si>
    <t>Cód.</t>
  </si>
  <si>
    <t>Unid.</t>
  </si>
  <si>
    <t>Metro</t>
  </si>
  <si>
    <t>Unidade</t>
  </si>
  <si>
    <t>Conduite - tipo: sealtubo flexivel; materia-prima: metal; bitola: 1 polegada</t>
  </si>
  <si>
    <t>Eletroduto - materia-prima: aco galvanizado; rigidez: rigido, sem rosca, sem costura; acabamento: liso; diametro: 1 polegada;</t>
  </si>
  <si>
    <t>Curva para eletroduto - materia prima: aco galvanizado eletrolitico; tipo: roscavel; angulo: 90 graus; raio: longo; classe: leve; diametro: 1 polegada;</t>
  </si>
  <si>
    <t>Condulete - bitola: 01 polegada; materia-prima: aluminio; tipo: sem rosca; modelo: multiplo x; acabamento: aluminio natural;</t>
  </si>
  <si>
    <t>Condulete - bitola: 1 polegada; materia-prima: aluminio; tipo: sem rosca; modelo: ll; acabamento: aluminio natural</t>
  </si>
  <si>
    <t>Condulete - bitola: 01 polegada; materia-prima: aluminio; tipo: sem rosca; modelo: lr; acabamento: aluminio natural</t>
  </si>
  <si>
    <t>Luva para eletroduto - materia-prima: aco galvanizado a fogo, roscavel; diametro: 1 polegada;</t>
  </si>
  <si>
    <t>Saida eletroduto - tipo: horizontal; dimensao: 1 polegada; materia-prima: aco galvanizado;</t>
  </si>
  <si>
    <t>Bracadeira metalica - materia-prima: aco galvanizado; formato: tipo d; medida nominal: 1 polegada; parafuso/porca: sem parafuso; cunha: com cunha;</t>
  </si>
  <si>
    <t>Espelho para instalacao eletrica/logica - tipo: tampa cega para condulete multiplo de 1 polegada; materia-prima: aluminio; tomadas/formato: nao aplicavel; medidas: 116 x 54mm; cor: cinza;</t>
  </si>
  <si>
    <t>Bucha de acabamento para eletrodutos - materia-prima: aluminio; medida: 1 polegada;</t>
  </si>
  <si>
    <t>Arruela - materia-prima: aluminio; acabamento: natural; tipo: para eletroduto; medidas: 1 polegada;</t>
  </si>
  <si>
    <t>Tampao para uso eletrico - aplicacao: condulete multiplo; dimensoes: 01 polegada; materia prima: pvc</t>
  </si>
  <si>
    <t>Espelho para instalacao eletrica - tipo: condulete; materia-prima: aluminio; tomadas/formato: hexagonal/padrao brasileiro; medidas: 1 polegada; cor: cinza;</t>
  </si>
  <si>
    <r>
      <t>Eletrodutos, eletrocalhas, perfilados e acessórios de ferragens (SEI 19.16.3900.0023821/2021-22) -</t>
    </r>
    <r>
      <rPr>
        <b/>
        <sz val="11"/>
        <rFont val="Arial"/>
        <family val="2"/>
      </rPr>
      <t xml:space="preserve"> LOTE 2</t>
    </r>
  </si>
  <si>
    <t>Valor total inserido no SIAD:</t>
  </si>
  <si>
    <t xml:space="preserve">Obramax - BMB Material de Construcao S.A. </t>
  </si>
  <si>
    <t>Decorwatts</t>
  </si>
  <si>
    <t>I9 Elétrica Comercio e Serviços Ltda</t>
  </si>
  <si>
    <t>SANTIL</t>
  </si>
  <si>
    <t>GIMAWA COMERCIAL LTDA</t>
  </si>
  <si>
    <t>BAZAR 339</t>
  </si>
  <si>
    <t>Anhanguera Comércio de Ferramentas Ltda</t>
  </si>
  <si>
    <t xml:space="preserve">ELÉTRICA BICHUETTE LTDA </t>
  </si>
  <si>
    <t>Leroy Merlin Cia Brasileira de Bricolagem.</t>
  </si>
  <si>
    <t>LOJA ELÉTRICA</t>
  </si>
  <si>
    <t>Agrometal</t>
  </si>
  <si>
    <t>DIMENSIONAL BRASIL SOLUÇÕES LTDA</t>
  </si>
  <si>
    <t>Plenadomus Comércio de Utilitades Domésticas LTDA</t>
  </si>
  <si>
    <t>Sartori Materiais Elétricos e Hidráulicos</t>
  </si>
  <si>
    <t>UNIVERSA ELECTRIC MAT. ELETRICOS LTDA</t>
  </si>
  <si>
    <t>Comércio de Ferragens Pires Martins</t>
  </si>
  <si>
    <t xml:space="preserve">Eletrorastro Comércio de Materiais Elétricos Ltda </t>
  </si>
  <si>
    <t>RAICROM COMÉRCIO</t>
  </si>
  <si>
    <t>Jabu Engenharia Elétrica Ltda</t>
  </si>
  <si>
    <t>ELETROTRAFO PRODUTOS ELÉTRICOS LTDA.</t>
  </si>
  <si>
    <t>NOVA ELÉTRICA CASA &amp; LAZER LTDA</t>
  </si>
  <si>
    <t>Copafer Comercial Ltda.</t>
  </si>
  <si>
    <t>Contratações similares - Banco de Preços</t>
  </si>
  <si>
    <t>Reprovado pelo setor técnico</t>
  </si>
  <si>
    <t>CONDULETE - BITOLA: 1 POLEGADA; MATERIA-PRIMA: EM ALUMINIO; TIPO: SEM ROSCA; MODELO: T; ACABAMENTO: EM ALUMINIO NATURAL</t>
  </si>
  <si>
    <t xml:space="preserve">RH MATERIAIS ELÉTRICOS </t>
  </si>
  <si>
    <t>Obs.: 
1) Empresas consultadas conforme documento incluído no Processo SEI 19.16.3900.0023821/2021-22.      
2) A pesquisa feita no Banco de Preços inclui cotações de produtos similares localizadas no período citado em relatório.  
3) No aguardo de orientação institucional, que esta sendo tratada no processo SEI 19.16.3719.0003818/2019-12, como forma objetiva de se tratar preços discrepantes só é utilizada mediana para os itens cujo coeficiente de variação é superior a 25%, conforme critério DATAPREV. 
4) Item 7 foi alterado conforme despacho técnico (SEI 1898822). 
Mapa elaborado por: Gabriela Simões Chaves MAMP 3868
Em: 01/09/2021 e alterado em 19/10/2021</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</si>
</sst>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_);_(* \(#,##0.00\);_(* \-??_);_(@_)"/>
    <numFmt numFmtId="179" formatCode="&quot;Sim&quot;;&quot;Sim&quot;;&quot;Não&quot;"/>
    <numFmt numFmtId="180" formatCode="&quot;Verdadeiro&quot;;&quot;Verdadeiro&quot;;&quot;Falso&quot;"/>
    <numFmt numFmtId="181" formatCode="&quot;Ativar&quot;;&quot;Ativar&quot;;&quot;Desativar&quot;"/>
    <numFmt numFmtId="182" formatCode="&quot;Ativado&quot;;&quot;Ativado&quot;;&quot;Desativado&quot;"/>
    <numFmt numFmtId="183" formatCode="[$€-2]\ #,##0.00_);[Red]\([$€-2]\ #,##0.00\)"/>
    <numFmt numFmtId="184" formatCode="0.00;[Red]0.00"/>
    <numFmt numFmtId="185" formatCode="#,##0.00;[Red]#,##0.00"/>
    <numFmt numFmtId="186" formatCode="&quot;R$&quot;#,##0.00"/>
    <numFmt numFmtId="187" formatCode="#,##0.00\ ;&quot; (&quot;#,##0.00\);&quot; -&quot;#\ ;@\ "/>
    <numFmt numFmtId="188" formatCode="#,##0.000"/>
  </numFmts>
  <fonts count="45">
    <font>
      <sz val="10"/>
      <name val="Arial"/>
      <family val="2"/>
    </font>
    <font>
      <b/>
      <sz val="14"/>
      <name val="Arial"/>
      <family val="2"/>
    </font>
    <font>
      <sz val="11"/>
      <name val="Arial"/>
      <family val="2"/>
    </font>
    <font>
      <b/>
      <sz val="10"/>
      <name val="Arial"/>
      <family val="2"/>
    </font>
    <font>
      <b/>
      <sz val="11.5"/>
      <color indexed="8"/>
      <name val="Arial"/>
      <family val="2"/>
    </font>
    <font>
      <sz val="8"/>
      <name val="Arial"/>
      <family val="2"/>
    </font>
    <font>
      <sz val="7"/>
      <name val="Arial"/>
      <family val="2"/>
    </font>
    <font>
      <b/>
      <sz val="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6"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hair">
        <color indexed="8"/>
      </top>
      <bottom style="hair">
        <color indexed="8"/>
      </bottom>
    </border>
    <border>
      <left style="double"/>
      <right style="double"/>
      <top style="thin"/>
      <bottom style="hair"/>
    </border>
    <border>
      <left style="thin"/>
      <right style="thin"/>
      <top>
        <color indexed="63"/>
      </top>
      <bottom>
        <color indexed="63"/>
      </bottom>
    </border>
    <border>
      <left style="double">
        <color indexed="8"/>
      </left>
      <right style="double">
        <color indexed="8"/>
      </right>
      <top style="hair"/>
      <bottom style="hair">
        <color indexed="8"/>
      </bottom>
    </border>
    <border>
      <left style="double"/>
      <right style="double">
        <color indexed="8"/>
      </right>
      <top>
        <color indexed="63"/>
      </top>
      <bottom>
        <color indexed="63"/>
      </bottom>
    </border>
    <border>
      <left style="thin">
        <color indexed="8"/>
      </left>
      <right style="thin">
        <color indexed="8"/>
      </right>
      <top style="thin"/>
      <bottom style="hair">
        <color indexed="8"/>
      </bottom>
    </border>
    <border>
      <left style="thin">
        <color indexed="8"/>
      </left>
      <right style="thin">
        <color indexed="8"/>
      </right>
      <top>
        <color indexed="63"/>
      </top>
      <bottom style="hair">
        <color indexed="8"/>
      </bottom>
    </border>
    <border>
      <left style="double"/>
      <right style="double"/>
      <top>
        <color indexed="63"/>
      </top>
      <bottom>
        <color indexed="63"/>
      </bottom>
    </border>
    <border>
      <left style="double"/>
      <right style="double">
        <color indexed="8"/>
      </right>
      <top style="thin"/>
      <bottom style="hair"/>
    </border>
    <border>
      <left style="double">
        <color indexed="8"/>
      </left>
      <right style="thin">
        <color indexed="8"/>
      </right>
      <top style="hair">
        <color indexed="8"/>
      </top>
      <bottom style="hair">
        <color indexed="8"/>
      </bottom>
    </border>
    <border>
      <left style="double">
        <color indexed="8"/>
      </left>
      <right>
        <color indexed="63"/>
      </right>
      <top style="hair">
        <color indexed="8"/>
      </top>
      <bottom style="hair">
        <color indexed="8"/>
      </bottom>
    </border>
    <border>
      <left style="thin">
        <color indexed="8"/>
      </left>
      <right style="thin">
        <color indexed="8"/>
      </right>
      <top style="thin">
        <color indexed="8"/>
      </top>
      <bottom style="hair">
        <color indexed="8"/>
      </bottom>
    </border>
    <border>
      <left style="double">
        <color indexed="8"/>
      </left>
      <right>
        <color indexed="63"/>
      </right>
      <top style="thin">
        <color indexed="8"/>
      </top>
      <bottom style="hair">
        <color indexed="8"/>
      </bottom>
    </border>
    <border>
      <left style="thin"/>
      <right>
        <color indexed="63"/>
      </right>
      <top>
        <color indexed="63"/>
      </top>
      <bottom>
        <color indexed="63"/>
      </bottom>
    </border>
    <border>
      <left style="double"/>
      <right>
        <color indexed="63"/>
      </right>
      <top style="double">
        <color indexed="8"/>
      </top>
      <bottom style="thin"/>
    </border>
    <border>
      <left>
        <color indexed="63"/>
      </left>
      <right style="double"/>
      <top style="double">
        <color indexed="8"/>
      </top>
      <bottom style="thin"/>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style="thin"/>
      <right style="double"/>
      <top style="double">
        <color indexed="8"/>
      </top>
      <bottom>
        <color indexed="63"/>
      </bottom>
    </border>
    <border>
      <left style="thin"/>
      <right style="double"/>
      <top>
        <color indexed="63"/>
      </top>
      <bottom style="thin"/>
    </border>
    <border>
      <left>
        <color indexed="63"/>
      </left>
      <right>
        <color indexed="63"/>
      </right>
      <top style="double">
        <color indexed="8"/>
      </top>
      <bottom style="thin"/>
    </border>
    <border>
      <left style="thin">
        <color indexed="8"/>
      </left>
      <right style="thin"/>
      <top style="double">
        <color indexed="8"/>
      </top>
      <bottom>
        <color indexed="63"/>
      </bottom>
    </border>
    <border>
      <left style="thin">
        <color indexed="8"/>
      </left>
      <right style="thin"/>
      <top>
        <color indexed="63"/>
      </top>
      <bottom>
        <color indexed="63"/>
      </bottom>
    </border>
    <border>
      <left>
        <color indexed="63"/>
      </left>
      <right style="double">
        <color indexed="8"/>
      </right>
      <top style="double">
        <color indexed="8"/>
      </top>
      <bottom style="thin"/>
    </border>
    <border>
      <left style="double">
        <color indexed="8"/>
      </left>
      <right>
        <color indexed="63"/>
      </right>
      <top style="hair">
        <color indexed="8"/>
      </top>
      <bottom style="thin"/>
    </border>
    <border>
      <left>
        <color indexed="63"/>
      </left>
      <right>
        <color indexed="63"/>
      </right>
      <top style="hair">
        <color indexed="8"/>
      </top>
      <bottom style="thin"/>
    </border>
    <border>
      <left style="double"/>
      <right style="double"/>
      <top style="double">
        <color indexed="8"/>
      </top>
      <bottom>
        <color indexed="63"/>
      </bottom>
    </border>
    <border>
      <left style="double">
        <color indexed="8"/>
      </left>
      <right>
        <color indexed="63"/>
      </right>
      <top style="hair"/>
      <bottom style="hair">
        <color indexed="8"/>
      </bottom>
    </border>
    <border>
      <left>
        <color indexed="63"/>
      </left>
      <right>
        <color indexed="63"/>
      </right>
      <top style="hair"/>
      <bottom style="hair">
        <color indexed="8"/>
      </bottom>
    </border>
    <border>
      <left>
        <color indexed="63"/>
      </left>
      <right style="double">
        <color indexed="8"/>
      </right>
      <top style="hair"/>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1" applyNumberFormat="0" applyAlignment="0" applyProtection="0"/>
    <xf numFmtId="176" fontId="0" fillId="0" borderId="0" applyFill="0" applyBorder="0" applyAlignment="0" applyProtection="0"/>
    <xf numFmtId="174" fontId="0" fillId="0" borderId="0" applyFill="0" applyBorder="0" applyAlignment="0" applyProtection="0"/>
    <xf numFmtId="0" fontId="34" fillId="29"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0" fillId="30" borderId="4" applyNumberFormat="0" applyFont="0" applyAlignment="0" applyProtection="0"/>
    <xf numFmtId="9" fontId="0" fillId="0" borderId="0" applyFill="0" applyBorder="0" applyAlignment="0" applyProtection="0"/>
    <xf numFmtId="0" fontId="35" fillId="31" borderId="0" applyNumberFormat="0" applyBorder="0" applyAlignment="0" applyProtection="0"/>
    <xf numFmtId="0" fontId="36" fillId="20" borderId="5" applyNumberFormat="0" applyAlignment="0" applyProtection="0"/>
    <xf numFmtId="175" fontId="0" fillId="0" borderId="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8" fontId="0" fillId="0" borderId="0" applyFill="0" applyBorder="0" applyAlignment="0" applyProtection="0"/>
    <xf numFmtId="187" fontId="0" fillId="0" borderId="0" applyFill="0" applyBorder="0" applyAlignment="0" applyProtection="0"/>
    <xf numFmtId="43" fontId="27" fillId="0" borderId="0" applyFont="0" applyFill="0" applyBorder="0" applyAlignment="0" applyProtection="0"/>
  </cellStyleXfs>
  <cellXfs count="61">
    <xf numFmtId="0" fontId="0" fillId="0" borderId="0" xfId="0" applyAlignment="1">
      <alignment/>
    </xf>
    <xf numFmtId="0" fontId="0" fillId="0" borderId="0" xfId="0" applyAlignment="1">
      <alignment horizontal="center"/>
    </xf>
    <xf numFmtId="0" fontId="0" fillId="0" borderId="0" xfId="0" applyAlignment="1">
      <alignment horizontal="left"/>
    </xf>
    <xf numFmtId="0" fontId="3" fillId="0" borderId="0" xfId="0" applyFont="1" applyAlignment="1">
      <alignment vertical="center"/>
    </xf>
    <xf numFmtId="4" fontId="6" fillId="0" borderId="10" xfId="0" applyNumberFormat="1" applyFont="1" applyFill="1" applyBorder="1" applyAlignment="1" applyProtection="1">
      <alignment horizontal="center" vertical="center" wrapText="1"/>
      <protection locked="0"/>
    </xf>
    <xf numFmtId="4" fontId="5" fillId="0" borderId="11" xfId="0" applyNumberFormat="1"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10" fontId="5" fillId="0" borderId="13" xfId="0" applyNumberFormat="1" applyFont="1" applyFill="1" applyBorder="1" applyAlignment="1" applyProtection="1">
      <alignment horizontal="center" vertical="center" wrapText="1"/>
      <protection locked="0"/>
    </xf>
    <xf numFmtId="10" fontId="5" fillId="32" borderId="11" xfId="0" applyNumberFormat="1" applyFont="1" applyFill="1" applyBorder="1" applyAlignment="1" applyProtection="1">
      <alignment horizontal="center" vertical="center" wrapText="1"/>
      <protection locked="0"/>
    </xf>
    <xf numFmtId="0" fontId="5" fillId="32" borderId="14" xfId="0" applyFont="1" applyFill="1" applyBorder="1" applyAlignment="1">
      <alignment horizontal="center" vertical="center" wrapText="1"/>
    </xf>
    <xf numFmtId="4" fontId="5" fillId="0" borderId="11" xfId="0" applyNumberFormat="1" applyFont="1" applyFill="1" applyBorder="1" applyAlignment="1" applyProtection="1">
      <alignment horizontal="center" vertical="center" wrapText="1"/>
      <protection locked="0"/>
    </xf>
    <xf numFmtId="4" fontId="5" fillId="0" borderId="15" xfId="0" applyNumberFormat="1" applyFont="1" applyFill="1" applyBorder="1" applyAlignment="1" applyProtection="1">
      <alignment horizontal="center" vertical="center" wrapText="1"/>
      <protection locked="0"/>
    </xf>
    <xf numFmtId="4" fontId="5" fillId="0" borderId="16" xfId="0" applyNumberFormat="1" applyFont="1" applyFill="1" applyBorder="1" applyAlignment="1" applyProtection="1">
      <alignment horizontal="center" vertical="center" wrapText="1"/>
      <protection locked="0"/>
    </xf>
    <xf numFmtId="0" fontId="5" fillId="32" borderId="17" xfId="0" applyFont="1" applyFill="1" applyBorder="1" applyAlignment="1" applyProtection="1">
      <alignment horizontal="center" vertical="center" wrapText="1"/>
      <protection locked="0"/>
    </xf>
    <xf numFmtId="4" fontId="5" fillId="0" borderId="18" xfId="0" applyNumberFormat="1"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9"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pplyProtection="1">
      <alignment horizontal="center" vertical="center" wrapText="1"/>
      <protection locked="0"/>
    </xf>
    <xf numFmtId="4" fontId="5" fillId="32" borderId="18" xfId="0" applyNumberFormat="1" applyFont="1" applyFill="1" applyBorder="1" applyAlignment="1">
      <alignment horizontal="center" vertical="center" wrapText="1"/>
    </xf>
    <xf numFmtId="4" fontId="5" fillId="32" borderId="11" xfId="0" applyNumberFormat="1" applyFont="1" applyFill="1" applyBorder="1" applyAlignment="1">
      <alignment horizontal="center" vertical="center" wrapText="1"/>
    </xf>
    <xf numFmtId="4" fontId="7" fillId="32"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Alignment="1">
      <alignment vertical="center"/>
    </xf>
    <xf numFmtId="4" fontId="5" fillId="32" borderId="11" xfId="0" applyNumberFormat="1" applyFont="1" applyFill="1" applyBorder="1" applyAlignment="1" applyProtection="1">
      <alignment horizontal="center" vertical="center" wrapText="1"/>
      <protection locked="0"/>
    </xf>
    <xf numFmtId="4" fontId="44" fillId="0" borderId="16" xfId="0" applyNumberFormat="1" applyFont="1" applyBorder="1" applyAlignment="1" applyProtection="1">
      <alignment horizontal="center" vertical="center" wrapText="1"/>
      <protection locked="0"/>
    </xf>
    <xf numFmtId="0" fontId="5" fillId="13" borderId="20"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10" xfId="0" applyFont="1" applyFill="1" applyBorder="1" applyAlignment="1">
      <alignment horizontal="left" vertical="center" wrapText="1"/>
    </xf>
    <xf numFmtId="4" fontId="5" fillId="13" borderId="16" xfId="0" applyNumberFormat="1" applyFont="1" applyFill="1" applyBorder="1" applyAlignment="1" applyProtection="1">
      <alignment horizontal="center" vertical="center" wrapText="1"/>
      <protection locked="0"/>
    </xf>
    <xf numFmtId="0" fontId="3" fillId="13" borderId="0" xfId="0" applyFont="1" applyFill="1" applyAlignment="1">
      <alignment vertical="center"/>
    </xf>
    <xf numFmtId="0" fontId="1" fillId="0" borderId="0" xfId="0" applyFont="1" applyBorder="1" applyAlignment="1">
      <alignment horizontal="center"/>
    </xf>
    <xf numFmtId="0" fontId="5" fillId="32" borderId="24" xfId="0" applyFont="1" applyFill="1" applyBorder="1" applyAlignment="1" applyProtection="1">
      <alignment horizontal="center" vertical="center" wrapText="1"/>
      <protection locked="0"/>
    </xf>
    <xf numFmtId="0" fontId="5" fillId="32" borderId="25" xfId="0" applyFont="1" applyFill="1" applyBorder="1" applyAlignment="1" applyProtection="1">
      <alignment horizontal="center" vertical="center" wrapText="1"/>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 fillId="0" borderId="30" xfId="0" applyFont="1" applyBorder="1" applyAlignment="1">
      <alignment horizontal="center"/>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2" borderId="33" xfId="0" applyFont="1" applyFill="1" applyBorder="1" applyAlignment="1">
      <alignment horizontal="center" vertical="center" wrapText="1"/>
    </xf>
    <xf numFmtId="0" fontId="5" fillId="32" borderId="36" xfId="0" applyFont="1" applyFill="1" applyBorder="1" applyAlignment="1">
      <alignment horizontal="center" vertical="center" wrapText="1"/>
    </xf>
    <xf numFmtId="0" fontId="5" fillId="0" borderId="37" xfId="0" applyNumberFormat="1" applyFont="1" applyFill="1" applyBorder="1" applyAlignment="1">
      <alignment horizontal="left" vertical="center" wrapText="1"/>
    </xf>
    <xf numFmtId="0" fontId="5" fillId="0" borderId="38" xfId="0" applyNumberFormat="1" applyFont="1" applyFill="1" applyBorder="1" applyAlignment="1">
      <alignment horizontal="left" vertical="center" wrapText="1"/>
    </xf>
    <xf numFmtId="0" fontId="5" fillId="32" borderId="39" xfId="0" applyFont="1" applyFill="1" applyBorder="1" applyAlignment="1" applyProtection="1">
      <alignment horizontal="center" vertical="center" wrapText="1"/>
      <protection locked="0"/>
    </xf>
    <xf numFmtId="0" fontId="5" fillId="32" borderId="17" xfId="0" applyFont="1" applyFill="1" applyBorder="1" applyAlignment="1" applyProtection="1">
      <alignment horizontal="center" vertical="center" wrapText="1"/>
      <protection locked="0"/>
    </xf>
    <xf numFmtId="10" fontId="7" fillId="32" borderId="40" xfId="0" applyNumberFormat="1" applyFont="1" applyFill="1" applyBorder="1" applyAlignment="1" applyProtection="1">
      <alignment horizontal="center" vertical="center" wrapText="1"/>
      <protection locked="0"/>
    </xf>
    <xf numFmtId="10" fontId="7" fillId="32" borderId="41" xfId="0" applyNumberFormat="1" applyFont="1" applyFill="1" applyBorder="1" applyAlignment="1" applyProtection="1">
      <alignment horizontal="center" vertical="center" wrapText="1"/>
      <protection locked="0"/>
    </xf>
    <xf numFmtId="10" fontId="7" fillId="32" borderId="42" xfId="0" applyNumberFormat="1" applyFont="1" applyFill="1" applyBorder="1" applyAlignment="1" applyProtection="1">
      <alignment horizontal="center"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rmal 13" xfId="47"/>
    <cellStyle name="Normal 2" xfId="48"/>
    <cellStyle name="Normal 3" xfId="49"/>
    <cellStyle name="Nota" xfId="50"/>
    <cellStyle name="Percent" xfId="51"/>
    <cellStyle name="Ruim" xfId="52"/>
    <cellStyle name="Saída" xfId="53"/>
    <cellStyle name="Comma [0]" xfId="54"/>
    <cellStyle name="Separador de milhares 19" xfId="55"/>
    <cellStyle name="Separador de milhares 2"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2" xfId="66"/>
    <cellStyle name="Vírgula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3</xdr:col>
      <xdr:colOff>409575</xdr:colOff>
      <xdr:row>1</xdr:row>
      <xdr:rowOff>209550</xdr:rowOff>
    </xdr:to>
    <xdr:pic>
      <xdr:nvPicPr>
        <xdr:cNvPr id="1" name="Imagem 2"/>
        <xdr:cNvPicPr preferRelativeResize="1">
          <a:picLocks noChangeAspect="1"/>
        </xdr:cNvPicPr>
      </xdr:nvPicPr>
      <xdr:blipFill>
        <a:blip r:embed="rId1"/>
        <a:stretch>
          <a:fillRect/>
        </a:stretch>
      </xdr:blipFill>
      <xdr:spPr>
        <a:xfrm>
          <a:off x="0" y="57150"/>
          <a:ext cx="18002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21"/>
  <sheetViews>
    <sheetView tabSelected="1" showOutlineSymbols="0" view="pageBreakPreview" zoomScale="80" zoomScaleNormal="80" zoomScaleSheetLayoutView="80" zoomScalePageLayoutView="0" workbookViewId="0" topLeftCell="A1">
      <pane xSplit="5" ySplit="4" topLeftCell="R5" activePane="bottomRight" state="frozen"/>
      <selection pane="topLeft" activeCell="A1" sqref="A1"/>
      <selection pane="topRight" activeCell="D1" sqref="D1"/>
      <selection pane="bottomLeft" activeCell="A5" sqref="A5"/>
      <selection pane="bottomRight" activeCell="R4" sqref="R1:AC16384"/>
    </sheetView>
  </sheetViews>
  <sheetFormatPr defaultColWidth="11.421875" defaultRowHeight="12.75"/>
  <cols>
    <col min="1" max="1" width="7.140625" style="1" customWidth="1"/>
    <col min="2" max="3" width="6.8515625" style="1" customWidth="1"/>
    <col min="4" max="4" width="8.57421875" style="1" customWidth="1"/>
    <col min="5" max="5" width="35.00390625" style="0" customWidth="1"/>
    <col min="6" max="17" width="11.57421875" style="0" customWidth="1"/>
    <col min="18" max="29" width="11.57421875" style="0" hidden="1" customWidth="1"/>
    <col min="30" max="34" width="12.00390625" style="0" customWidth="1"/>
  </cols>
  <sheetData>
    <row r="1" spans="1:34" ht="37.5"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s="2" customFormat="1" ht="24.75" customHeight="1" thickBot="1">
      <c r="A2" s="46" t="s">
        <v>29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s="2" customFormat="1" ht="17.25" customHeight="1" thickTop="1">
      <c r="A3" s="42" t="s">
        <v>3</v>
      </c>
      <c r="B3" s="44" t="s">
        <v>1</v>
      </c>
      <c r="C3" s="44" t="s">
        <v>12</v>
      </c>
      <c r="D3" s="44" t="s">
        <v>11</v>
      </c>
      <c r="E3" s="50" t="s">
        <v>0</v>
      </c>
      <c r="F3" s="49" t="s">
        <v>10</v>
      </c>
      <c r="G3" s="49"/>
      <c r="H3" s="49"/>
      <c r="I3" s="49"/>
      <c r="J3" s="49"/>
      <c r="K3" s="49"/>
      <c r="L3" s="49"/>
      <c r="M3" s="49"/>
      <c r="N3" s="49"/>
      <c r="O3" s="49"/>
      <c r="P3" s="49"/>
      <c r="Q3" s="49"/>
      <c r="R3" s="49"/>
      <c r="S3" s="49"/>
      <c r="T3" s="49"/>
      <c r="U3" s="49"/>
      <c r="V3" s="49"/>
      <c r="W3" s="49"/>
      <c r="X3" s="49"/>
      <c r="Y3" s="49"/>
      <c r="Z3" s="49"/>
      <c r="AA3" s="49"/>
      <c r="AB3" s="49"/>
      <c r="AC3" s="47" t="s">
        <v>53</v>
      </c>
      <c r="AD3" s="56" t="s">
        <v>2</v>
      </c>
      <c r="AE3" s="40" t="s">
        <v>7</v>
      </c>
      <c r="AF3" s="41"/>
      <c r="AG3" s="52" t="s">
        <v>8</v>
      </c>
      <c r="AH3" s="53"/>
    </row>
    <row r="4" spans="1:34" s="3" customFormat="1" ht="57.75" customHeight="1">
      <c r="A4" s="43"/>
      <c r="B4" s="45"/>
      <c r="C4" s="45"/>
      <c r="D4" s="45"/>
      <c r="E4" s="51"/>
      <c r="F4" s="6" t="s">
        <v>31</v>
      </c>
      <c r="G4" s="6" t="s">
        <v>32</v>
      </c>
      <c r="H4" s="6" t="s">
        <v>33</v>
      </c>
      <c r="I4" s="6" t="s">
        <v>34</v>
      </c>
      <c r="J4" s="6" t="s">
        <v>35</v>
      </c>
      <c r="K4" s="6" t="s">
        <v>36</v>
      </c>
      <c r="L4" s="6" t="s">
        <v>37</v>
      </c>
      <c r="M4" s="6" t="s">
        <v>38</v>
      </c>
      <c r="N4" s="6" t="s">
        <v>39</v>
      </c>
      <c r="O4" s="6" t="s">
        <v>40</v>
      </c>
      <c r="P4" s="6" t="s">
        <v>41</v>
      </c>
      <c r="Q4" s="6" t="s">
        <v>42</v>
      </c>
      <c r="R4" s="6" t="s">
        <v>43</v>
      </c>
      <c r="S4" s="6" t="s">
        <v>44</v>
      </c>
      <c r="T4" s="6" t="s">
        <v>45</v>
      </c>
      <c r="U4" s="6" t="s">
        <v>46</v>
      </c>
      <c r="V4" s="6" t="s">
        <v>47</v>
      </c>
      <c r="W4" s="6" t="s">
        <v>48</v>
      </c>
      <c r="X4" s="6" t="s">
        <v>49</v>
      </c>
      <c r="Y4" s="6" t="s">
        <v>50</v>
      </c>
      <c r="Z4" s="6" t="s">
        <v>51</v>
      </c>
      <c r="AA4" s="26" t="s">
        <v>56</v>
      </c>
      <c r="AB4" s="26" t="s">
        <v>52</v>
      </c>
      <c r="AC4" s="48"/>
      <c r="AD4" s="57"/>
      <c r="AE4" s="13" t="s">
        <v>6</v>
      </c>
      <c r="AF4" s="13" t="s">
        <v>9</v>
      </c>
      <c r="AG4" s="15" t="s">
        <v>4</v>
      </c>
      <c r="AH4" s="9" t="s">
        <v>5</v>
      </c>
    </row>
    <row r="5" spans="1:34" s="3" customFormat="1" ht="22.5">
      <c r="A5" s="25">
        <v>1</v>
      </c>
      <c r="B5" s="21">
        <v>60</v>
      </c>
      <c r="C5" s="21" t="s">
        <v>13</v>
      </c>
      <c r="D5" s="21">
        <v>1555090</v>
      </c>
      <c r="E5" s="22" t="s">
        <v>15</v>
      </c>
      <c r="F5" s="11">
        <f>8.99*B5</f>
        <v>539.4</v>
      </c>
      <c r="G5" s="11">
        <f>5.61*B5</f>
        <v>336.6</v>
      </c>
      <c r="H5" s="11">
        <f>240/30*B5</f>
        <v>480</v>
      </c>
      <c r="I5" s="11">
        <f>71.45/5*B5</f>
        <v>857.4000000000001</v>
      </c>
      <c r="J5" s="11"/>
      <c r="K5" s="11"/>
      <c r="L5" s="11"/>
      <c r="M5" s="11"/>
      <c r="N5" s="11"/>
      <c r="O5" s="11"/>
      <c r="P5" s="11"/>
      <c r="Q5" s="11"/>
      <c r="R5" s="11"/>
      <c r="S5" s="11"/>
      <c r="T5" s="11"/>
      <c r="U5" s="11"/>
      <c r="V5" s="11"/>
      <c r="W5" s="11"/>
      <c r="X5" s="11"/>
      <c r="Y5" s="11"/>
      <c r="Z5" s="11"/>
      <c r="AA5" s="11"/>
      <c r="AB5" s="11"/>
      <c r="AC5" s="11">
        <f>8.68*B5</f>
        <v>520.8</v>
      </c>
      <c r="AD5" s="8">
        <f aca="true" t="shared" si="0" ref="AD5:AD19">_xlfn.STDEV.S(F5:AC5)/AVERAGE(F5:AC5)</f>
        <v>0.34919019554564273</v>
      </c>
      <c r="AE5" s="10">
        <f aca="true" t="shared" si="1" ref="AE5:AE19">AVERAGE(F5:AC5)/B5</f>
        <v>9.113999999999999</v>
      </c>
      <c r="AF5" s="32">
        <f aca="true" t="shared" si="2" ref="AF5:AF19">MEDIAN(F5:AC5)/B5</f>
        <v>8.68</v>
      </c>
      <c r="AG5" s="5">
        <f aca="true" t="shared" si="3" ref="AG5:AG19">AVERAGE(F5:AC5)</f>
        <v>546.8399999999999</v>
      </c>
      <c r="AH5" s="27">
        <f aca="true" t="shared" si="4" ref="AH5:AH19">MEDIAN(F5:AC5)</f>
        <v>520.8</v>
      </c>
    </row>
    <row r="6" spans="1:34" s="3" customFormat="1" ht="33.75">
      <c r="A6" s="19">
        <v>2</v>
      </c>
      <c r="B6" s="23">
        <v>300</v>
      </c>
      <c r="C6" s="23" t="s">
        <v>13</v>
      </c>
      <c r="D6" s="23">
        <v>1657003</v>
      </c>
      <c r="E6" s="24" t="s">
        <v>16</v>
      </c>
      <c r="F6" s="12"/>
      <c r="G6" s="12"/>
      <c r="H6" s="12"/>
      <c r="I6" s="12"/>
      <c r="J6" s="12">
        <f>46.81/3*B6</f>
        <v>4681</v>
      </c>
      <c r="K6" s="12">
        <f>37.6/3*B6</f>
        <v>3760</v>
      </c>
      <c r="L6" s="12">
        <f>100/3*B6</f>
        <v>10000</v>
      </c>
      <c r="M6" s="12">
        <f>27.6/3*B6</f>
        <v>2760.0000000000005</v>
      </c>
      <c r="N6" s="12"/>
      <c r="O6" s="12"/>
      <c r="P6" s="12"/>
      <c r="Q6" s="12"/>
      <c r="R6" s="12"/>
      <c r="S6" s="12"/>
      <c r="T6" s="12"/>
      <c r="U6" s="12"/>
      <c r="V6" s="12"/>
      <c r="W6" s="12"/>
      <c r="X6" s="12"/>
      <c r="Y6" s="12"/>
      <c r="Z6" s="12"/>
      <c r="AA6" s="12"/>
      <c r="AB6" s="12"/>
      <c r="AC6" s="12">
        <f>21.8*B6</f>
        <v>6540</v>
      </c>
      <c r="AD6" s="8">
        <f t="shared" si="0"/>
        <v>0.5139641848735734</v>
      </c>
      <c r="AE6" s="10">
        <f t="shared" si="1"/>
        <v>18.494</v>
      </c>
      <c r="AF6" s="32">
        <f t="shared" si="2"/>
        <v>15.603333333333333</v>
      </c>
      <c r="AG6" s="5">
        <f t="shared" si="3"/>
        <v>5548.2</v>
      </c>
      <c r="AH6" s="27">
        <f t="shared" si="4"/>
        <v>4681</v>
      </c>
    </row>
    <row r="7" spans="1:34" s="3" customFormat="1" ht="45">
      <c r="A7" s="20">
        <v>3</v>
      </c>
      <c r="B7" s="23">
        <v>100</v>
      </c>
      <c r="C7" s="23" t="s">
        <v>14</v>
      </c>
      <c r="D7" s="23">
        <v>1194569</v>
      </c>
      <c r="E7" s="24" t="s">
        <v>17</v>
      </c>
      <c r="F7" s="12"/>
      <c r="G7" s="12"/>
      <c r="H7" s="12"/>
      <c r="I7" s="33" t="s">
        <v>54</v>
      </c>
      <c r="J7" s="12"/>
      <c r="K7" s="12">
        <f>5.5*B7</f>
        <v>550</v>
      </c>
      <c r="L7" s="12"/>
      <c r="M7" s="12"/>
      <c r="N7" s="12">
        <f>7.79*B7</f>
        <v>779</v>
      </c>
      <c r="O7" s="12">
        <f>14.62*B7</f>
        <v>1462</v>
      </c>
      <c r="P7" s="12"/>
      <c r="Q7" s="12"/>
      <c r="R7" s="12"/>
      <c r="S7" s="12"/>
      <c r="T7" s="12"/>
      <c r="U7" s="12"/>
      <c r="V7" s="12"/>
      <c r="W7" s="12"/>
      <c r="X7" s="12"/>
      <c r="Y7" s="12"/>
      <c r="Z7" s="12"/>
      <c r="AA7" s="12"/>
      <c r="AB7" s="12"/>
      <c r="AC7" s="12">
        <f>3.85*B7</f>
        <v>385</v>
      </c>
      <c r="AD7" s="8">
        <f t="shared" si="0"/>
        <v>0.5966397880883707</v>
      </c>
      <c r="AE7" s="10">
        <f t="shared" si="1"/>
        <v>7.94</v>
      </c>
      <c r="AF7" s="32">
        <f t="shared" si="2"/>
        <v>6.645</v>
      </c>
      <c r="AG7" s="5">
        <f t="shared" si="3"/>
        <v>794</v>
      </c>
      <c r="AH7" s="27">
        <f t="shared" si="4"/>
        <v>664.5</v>
      </c>
    </row>
    <row r="8" spans="1:34" s="3" customFormat="1" ht="33.75">
      <c r="A8" s="20">
        <v>4</v>
      </c>
      <c r="B8" s="23">
        <v>100</v>
      </c>
      <c r="C8" s="23" t="s">
        <v>14</v>
      </c>
      <c r="D8" s="23">
        <v>1610856</v>
      </c>
      <c r="E8" s="24" t="s">
        <v>18</v>
      </c>
      <c r="F8" s="12"/>
      <c r="G8" s="12"/>
      <c r="H8" s="12"/>
      <c r="I8" s="12"/>
      <c r="J8" s="12"/>
      <c r="K8" s="12"/>
      <c r="L8" s="12">
        <f>12.78*B8</f>
        <v>1278</v>
      </c>
      <c r="M8" s="12"/>
      <c r="N8" s="12"/>
      <c r="O8" s="12">
        <f>13.73*B8</f>
        <v>1373</v>
      </c>
      <c r="P8" s="12">
        <f>10.77*B8</f>
        <v>1077</v>
      </c>
      <c r="Q8" s="12">
        <f>10.9*B8</f>
        <v>1090</v>
      </c>
      <c r="R8" s="12"/>
      <c r="S8" s="12"/>
      <c r="T8" s="12"/>
      <c r="U8" s="12"/>
      <c r="V8" s="12"/>
      <c r="W8" s="12"/>
      <c r="X8" s="12"/>
      <c r="Y8" s="12"/>
      <c r="Z8" s="12"/>
      <c r="AA8" s="12"/>
      <c r="AB8" s="12"/>
      <c r="AC8" s="12">
        <f>12*B8</f>
        <v>1200</v>
      </c>
      <c r="AD8" s="8">
        <f t="shared" si="0"/>
        <v>0.10441623086730467</v>
      </c>
      <c r="AE8" s="32">
        <f t="shared" si="1"/>
        <v>12.036</v>
      </c>
      <c r="AF8" s="10">
        <f t="shared" si="2"/>
        <v>12</v>
      </c>
      <c r="AG8" s="28">
        <f t="shared" si="3"/>
        <v>1203.6</v>
      </c>
      <c r="AH8" s="14">
        <f t="shared" si="4"/>
        <v>1200</v>
      </c>
    </row>
    <row r="9" spans="1:34" s="3" customFormat="1" ht="33.75">
      <c r="A9" s="20">
        <v>5</v>
      </c>
      <c r="B9" s="23">
        <v>50</v>
      </c>
      <c r="C9" s="23" t="s">
        <v>14</v>
      </c>
      <c r="D9" s="23">
        <v>721310</v>
      </c>
      <c r="E9" s="24" t="s">
        <v>19</v>
      </c>
      <c r="F9" s="12"/>
      <c r="G9" s="12"/>
      <c r="H9" s="12"/>
      <c r="I9" s="12">
        <f>15.8*B9</f>
        <v>790</v>
      </c>
      <c r="J9" s="12"/>
      <c r="K9" s="12"/>
      <c r="L9" s="12">
        <f>24.33*B9</f>
        <v>1216.5</v>
      </c>
      <c r="M9" s="12"/>
      <c r="N9" s="12"/>
      <c r="O9" s="12">
        <f>18.55*B9</f>
        <v>927.5</v>
      </c>
      <c r="P9" s="12"/>
      <c r="Q9" s="12"/>
      <c r="R9" s="12">
        <f>19*B9</f>
        <v>950</v>
      </c>
      <c r="S9" s="12"/>
      <c r="T9" s="12"/>
      <c r="U9" s="12"/>
      <c r="V9" s="12"/>
      <c r="W9" s="12"/>
      <c r="X9" s="12"/>
      <c r="Y9" s="12"/>
      <c r="Z9" s="12"/>
      <c r="AA9" s="12"/>
      <c r="AB9" s="12"/>
      <c r="AC9" s="12">
        <f>14.12*B9</f>
        <v>706</v>
      </c>
      <c r="AD9" s="8">
        <f t="shared" si="0"/>
        <v>0.21203004851129867</v>
      </c>
      <c r="AE9" s="32">
        <f t="shared" si="1"/>
        <v>18.36</v>
      </c>
      <c r="AF9" s="10">
        <f t="shared" si="2"/>
        <v>18.55</v>
      </c>
      <c r="AG9" s="28">
        <f t="shared" si="3"/>
        <v>918</v>
      </c>
      <c r="AH9" s="14">
        <f t="shared" si="4"/>
        <v>927.5</v>
      </c>
    </row>
    <row r="10" spans="1:34" s="3" customFormat="1" ht="33.75">
      <c r="A10" s="19">
        <v>6</v>
      </c>
      <c r="B10" s="23">
        <v>50</v>
      </c>
      <c r="C10" s="23" t="s">
        <v>14</v>
      </c>
      <c r="D10" s="23">
        <v>221074</v>
      </c>
      <c r="E10" s="24" t="s">
        <v>20</v>
      </c>
      <c r="F10" s="12"/>
      <c r="G10" s="12"/>
      <c r="H10" s="12"/>
      <c r="I10" s="12">
        <f>15.8*B10</f>
        <v>790</v>
      </c>
      <c r="J10" s="12"/>
      <c r="K10" s="12"/>
      <c r="L10" s="12"/>
      <c r="M10" s="12"/>
      <c r="N10" s="12"/>
      <c r="O10" s="12">
        <f>18.36*B10</f>
        <v>918</v>
      </c>
      <c r="P10" s="12"/>
      <c r="Q10" s="12">
        <f>17.9*B10</f>
        <v>894.9999999999999</v>
      </c>
      <c r="R10" s="12">
        <f>19*B10</f>
        <v>950</v>
      </c>
      <c r="S10" s="12"/>
      <c r="T10" s="12"/>
      <c r="U10" s="12"/>
      <c r="V10" s="12"/>
      <c r="W10" s="12"/>
      <c r="X10" s="12"/>
      <c r="Y10" s="12"/>
      <c r="Z10" s="12"/>
      <c r="AA10" s="12"/>
      <c r="AB10" s="12"/>
      <c r="AC10" s="12">
        <f>11.62*B10</f>
        <v>581</v>
      </c>
      <c r="AD10" s="8">
        <f t="shared" si="0"/>
        <v>0.18134049112705802</v>
      </c>
      <c r="AE10" s="32">
        <f t="shared" si="1"/>
        <v>16.535999999999998</v>
      </c>
      <c r="AF10" s="10">
        <f t="shared" si="2"/>
        <v>17.9</v>
      </c>
      <c r="AG10" s="28">
        <f t="shared" si="3"/>
        <v>826.8</v>
      </c>
      <c r="AH10" s="14">
        <f t="shared" si="4"/>
        <v>894.9999999999999</v>
      </c>
    </row>
    <row r="11" spans="1:34" s="38" customFormat="1" ht="45">
      <c r="A11" s="34">
        <v>7</v>
      </c>
      <c r="B11" s="35">
        <v>50</v>
      </c>
      <c r="C11" s="35" t="s">
        <v>14</v>
      </c>
      <c r="D11" s="35">
        <v>671096</v>
      </c>
      <c r="E11" s="36" t="s">
        <v>55</v>
      </c>
      <c r="F11" s="37"/>
      <c r="G11" s="37"/>
      <c r="H11" s="37"/>
      <c r="I11" s="37">
        <f>18.3*B11</f>
        <v>915</v>
      </c>
      <c r="J11" s="37"/>
      <c r="K11" s="37"/>
      <c r="L11" s="37"/>
      <c r="M11" s="37"/>
      <c r="N11" s="37"/>
      <c r="O11" s="37">
        <f>17.52*B11</f>
        <v>876</v>
      </c>
      <c r="P11" s="37"/>
      <c r="Q11" s="37"/>
      <c r="R11" s="37"/>
      <c r="S11" s="37"/>
      <c r="T11" s="37"/>
      <c r="U11" s="37"/>
      <c r="V11" s="37"/>
      <c r="W11" s="37"/>
      <c r="X11" s="37"/>
      <c r="Y11" s="37"/>
      <c r="Z11" s="37"/>
      <c r="AA11" s="37">
        <f>18.3*B11</f>
        <v>915</v>
      </c>
      <c r="AB11" s="37">
        <f>27.75*B11</f>
        <v>1387.5</v>
      </c>
      <c r="AC11" s="37">
        <f>12.24*B11</f>
        <v>612</v>
      </c>
      <c r="AD11" s="8">
        <f t="shared" si="0"/>
        <v>0.29732496708581146</v>
      </c>
      <c r="AE11" s="10">
        <f t="shared" si="1"/>
        <v>18.822</v>
      </c>
      <c r="AF11" s="32">
        <f t="shared" si="2"/>
        <v>18.3</v>
      </c>
      <c r="AG11" s="5">
        <f t="shared" si="3"/>
        <v>941.1</v>
      </c>
      <c r="AH11" s="27">
        <f t="shared" si="4"/>
        <v>915</v>
      </c>
    </row>
    <row r="12" spans="1:34" s="3" customFormat="1" ht="33.75">
      <c r="A12" s="20">
        <v>8</v>
      </c>
      <c r="B12" s="23">
        <v>200</v>
      </c>
      <c r="C12" s="23" t="s">
        <v>14</v>
      </c>
      <c r="D12" s="23">
        <v>1151320</v>
      </c>
      <c r="E12" s="24" t="s">
        <v>21</v>
      </c>
      <c r="F12" s="12"/>
      <c r="G12" s="12"/>
      <c r="H12" s="12"/>
      <c r="I12" s="12"/>
      <c r="J12" s="12">
        <f>2.98*B12</f>
        <v>596</v>
      </c>
      <c r="K12" s="12">
        <f>2.9*B12</f>
        <v>580</v>
      </c>
      <c r="L12" s="12">
        <f>2.43*B12</f>
        <v>486.00000000000006</v>
      </c>
      <c r="M12" s="12"/>
      <c r="N12" s="12"/>
      <c r="O12" s="12">
        <f>2.45*B12</f>
        <v>490.00000000000006</v>
      </c>
      <c r="P12" s="12"/>
      <c r="Q12" s="12"/>
      <c r="R12" s="12"/>
      <c r="S12" s="12"/>
      <c r="T12" s="12"/>
      <c r="U12" s="12"/>
      <c r="V12" s="12"/>
      <c r="W12" s="12"/>
      <c r="X12" s="12"/>
      <c r="Y12" s="12"/>
      <c r="Z12" s="12"/>
      <c r="AA12" s="12"/>
      <c r="AB12" s="12"/>
      <c r="AC12" s="12">
        <f>3.85*B12</f>
        <v>770</v>
      </c>
      <c r="AD12" s="8">
        <f t="shared" si="0"/>
        <v>0.19733131959194428</v>
      </c>
      <c r="AE12" s="32">
        <f t="shared" si="1"/>
        <v>2.9219999999999997</v>
      </c>
      <c r="AF12" s="10">
        <f t="shared" si="2"/>
        <v>2.9</v>
      </c>
      <c r="AG12" s="28">
        <f t="shared" si="3"/>
        <v>584.4</v>
      </c>
      <c r="AH12" s="14">
        <f t="shared" si="4"/>
        <v>580</v>
      </c>
    </row>
    <row r="13" spans="1:34" s="3" customFormat="1" ht="22.5">
      <c r="A13" s="20">
        <v>9</v>
      </c>
      <c r="B13" s="23">
        <v>200</v>
      </c>
      <c r="C13" s="23" t="s">
        <v>14</v>
      </c>
      <c r="D13" s="23">
        <v>1284908</v>
      </c>
      <c r="E13" s="24" t="s">
        <v>22</v>
      </c>
      <c r="F13" s="12"/>
      <c r="G13" s="12"/>
      <c r="H13" s="12"/>
      <c r="I13" s="12"/>
      <c r="J13" s="12"/>
      <c r="K13" s="12"/>
      <c r="L13" s="12">
        <f>2.51*B13</f>
        <v>501.99999999999994</v>
      </c>
      <c r="M13" s="12"/>
      <c r="N13" s="12"/>
      <c r="O13" s="12">
        <f>2.97*B13</f>
        <v>594</v>
      </c>
      <c r="P13" s="12">
        <f>2.82*B13</f>
        <v>564</v>
      </c>
      <c r="Q13" s="12"/>
      <c r="R13" s="12"/>
      <c r="S13" s="12">
        <f>2.65*B13</f>
        <v>530</v>
      </c>
      <c r="T13" s="12"/>
      <c r="U13" s="12"/>
      <c r="V13" s="12"/>
      <c r="W13" s="12"/>
      <c r="X13" s="12"/>
      <c r="Y13" s="12"/>
      <c r="Z13" s="12"/>
      <c r="AA13" s="12"/>
      <c r="AB13" s="12"/>
      <c r="AC13" s="12">
        <f>2.38*B13</f>
        <v>476</v>
      </c>
      <c r="AD13" s="8">
        <f t="shared" si="0"/>
        <v>0.08846966543211707</v>
      </c>
      <c r="AE13" s="32">
        <f t="shared" si="1"/>
        <v>2.6660000000000004</v>
      </c>
      <c r="AF13" s="10">
        <f t="shared" si="2"/>
        <v>2.65</v>
      </c>
      <c r="AG13" s="28">
        <f t="shared" si="3"/>
        <v>533.2</v>
      </c>
      <c r="AH13" s="14">
        <f t="shared" si="4"/>
        <v>530</v>
      </c>
    </row>
    <row r="14" spans="1:34" s="3" customFormat="1" ht="45">
      <c r="A14" s="19">
        <v>10</v>
      </c>
      <c r="B14" s="23">
        <v>100</v>
      </c>
      <c r="C14" s="23" t="s">
        <v>14</v>
      </c>
      <c r="D14" s="23">
        <v>328901</v>
      </c>
      <c r="E14" s="24" t="s">
        <v>23</v>
      </c>
      <c r="F14" s="12"/>
      <c r="G14" s="12"/>
      <c r="H14" s="12"/>
      <c r="I14" s="12"/>
      <c r="J14" s="12"/>
      <c r="K14" s="12"/>
      <c r="L14" s="12"/>
      <c r="M14" s="12"/>
      <c r="N14" s="12">
        <f>4.69*B14</f>
        <v>469.00000000000006</v>
      </c>
      <c r="O14" s="12">
        <f>1.8*B14</f>
        <v>180</v>
      </c>
      <c r="P14" s="12"/>
      <c r="Q14" s="12"/>
      <c r="R14" s="12"/>
      <c r="S14" s="12"/>
      <c r="T14" s="12">
        <f>2.89*B14</f>
        <v>289</v>
      </c>
      <c r="U14" s="12">
        <f>2.43*B14</f>
        <v>243.00000000000003</v>
      </c>
      <c r="V14" s="12"/>
      <c r="W14" s="12"/>
      <c r="X14" s="12"/>
      <c r="Y14" s="12"/>
      <c r="Z14" s="12"/>
      <c r="AA14" s="12"/>
      <c r="AB14" s="12"/>
      <c r="AC14" s="12">
        <f>1.52*B14</f>
        <v>152</v>
      </c>
      <c r="AD14" s="8">
        <f t="shared" si="0"/>
        <v>0.46945649391131067</v>
      </c>
      <c r="AE14" s="10">
        <f t="shared" si="1"/>
        <v>2.6660000000000004</v>
      </c>
      <c r="AF14" s="32">
        <f t="shared" si="2"/>
        <v>2.43</v>
      </c>
      <c r="AG14" s="5">
        <f t="shared" si="3"/>
        <v>266.6</v>
      </c>
      <c r="AH14" s="27">
        <f t="shared" si="4"/>
        <v>243.00000000000003</v>
      </c>
    </row>
    <row r="15" spans="1:34" s="3" customFormat="1" ht="56.25">
      <c r="A15" s="20">
        <v>11</v>
      </c>
      <c r="B15" s="23">
        <v>50</v>
      </c>
      <c r="C15" s="23" t="s">
        <v>14</v>
      </c>
      <c r="D15" s="23">
        <v>1068601</v>
      </c>
      <c r="E15" s="24" t="s">
        <v>24</v>
      </c>
      <c r="F15" s="12"/>
      <c r="G15" s="12"/>
      <c r="H15" s="12"/>
      <c r="I15" s="12"/>
      <c r="J15" s="12"/>
      <c r="K15" s="12"/>
      <c r="L15" s="12">
        <f>3.61*B15</f>
        <v>180.5</v>
      </c>
      <c r="M15" s="12"/>
      <c r="N15" s="12"/>
      <c r="O15" s="12"/>
      <c r="P15" s="12"/>
      <c r="Q15" s="12"/>
      <c r="R15" s="12"/>
      <c r="S15" s="12"/>
      <c r="T15" s="12"/>
      <c r="U15" s="12"/>
      <c r="V15" s="12">
        <f>3.35*B15</f>
        <v>167.5</v>
      </c>
      <c r="W15" s="12">
        <f>2.5*B15</f>
        <v>125</v>
      </c>
      <c r="X15" s="12">
        <f>3.01*B15</f>
        <v>150.5</v>
      </c>
      <c r="Y15" s="12"/>
      <c r="Z15" s="12"/>
      <c r="AA15" s="12"/>
      <c r="AB15" s="12"/>
      <c r="AC15" s="12">
        <f>2.54*B15</f>
        <v>127</v>
      </c>
      <c r="AD15" s="8">
        <f t="shared" si="0"/>
        <v>0.1628740339706641</v>
      </c>
      <c r="AE15" s="32">
        <f t="shared" si="1"/>
        <v>3.002</v>
      </c>
      <c r="AF15" s="10">
        <f t="shared" si="2"/>
        <v>3.01</v>
      </c>
      <c r="AG15" s="28">
        <f t="shared" si="3"/>
        <v>150.1</v>
      </c>
      <c r="AH15" s="14">
        <f t="shared" si="4"/>
        <v>150.5</v>
      </c>
    </row>
    <row r="16" spans="1:34" s="3" customFormat="1" ht="22.5">
      <c r="A16" s="20">
        <v>12</v>
      </c>
      <c r="B16" s="23">
        <v>100</v>
      </c>
      <c r="C16" s="23" t="s">
        <v>14</v>
      </c>
      <c r="D16" s="23">
        <v>550680</v>
      </c>
      <c r="E16" s="24" t="s">
        <v>25</v>
      </c>
      <c r="F16" s="12"/>
      <c r="G16" s="12"/>
      <c r="H16" s="12"/>
      <c r="I16" s="12">
        <f>1.2*B16</f>
        <v>120</v>
      </c>
      <c r="J16" s="12"/>
      <c r="K16" s="12"/>
      <c r="L16" s="12"/>
      <c r="M16" s="12"/>
      <c r="N16" s="12"/>
      <c r="O16" s="12">
        <f>1.23*B16</f>
        <v>123</v>
      </c>
      <c r="P16" s="12"/>
      <c r="Q16" s="12"/>
      <c r="R16" s="12">
        <f>3*B16</f>
        <v>300</v>
      </c>
      <c r="S16" s="12"/>
      <c r="T16" s="12"/>
      <c r="U16" s="12"/>
      <c r="V16" s="12"/>
      <c r="W16" s="12"/>
      <c r="X16" s="12"/>
      <c r="Y16" s="12">
        <f>1.29*B16</f>
        <v>129</v>
      </c>
      <c r="Z16" s="12"/>
      <c r="AA16" s="12"/>
      <c r="AB16" s="12"/>
      <c r="AC16" s="12">
        <f>1.4*B16</f>
        <v>140</v>
      </c>
      <c r="AD16" s="8">
        <f t="shared" si="0"/>
        <v>0.4759856199693719</v>
      </c>
      <c r="AE16" s="10">
        <f t="shared" si="1"/>
        <v>1.624</v>
      </c>
      <c r="AF16" s="32">
        <f t="shared" si="2"/>
        <v>1.29</v>
      </c>
      <c r="AG16" s="5">
        <f t="shared" si="3"/>
        <v>162.4</v>
      </c>
      <c r="AH16" s="27">
        <f t="shared" si="4"/>
        <v>129</v>
      </c>
    </row>
    <row r="17" spans="1:34" s="31" customFormat="1" ht="33.75">
      <c r="A17" s="20">
        <v>13</v>
      </c>
      <c r="B17" s="30">
        <v>200</v>
      </c>
      <c r="C17" s="30" t="s">
        <v>14</v>
      </c>
      <c r="D17" s="30">
        <v>384461</v>
      </c>
      <c r="E17" s="16" t="s">
        <v>26</v>
      </c>
      <c r="F17" s="12"/>
      <c r="G17" s="12"/>
      <c r="H17" s="12"/>
      <c r="I17" s="12">
        <f>0.9*B17</f>
        <v>180</v>
      </c>
      <c r="J17" s="12"/>
      <c r="K17" s="12"/>
      <c r="L17" s="12"/>
      <c r="M17" s="12"/>
      <c r="N17" s="12">
        <f>5.69*B17</f>
        <v>1138</v>
      </c>
      <c r="O17" s="12">
        <f>0.9*B17</f>
        <v>180</v>
      </c>
      <c r="P17" s="12"/>
      <c r="Q17" s="12"/>
      <c r="R17" s="12"/>
      <c r="S17" s="12"/>
      <c r="T17" s="12"/>
      <c r="U17" s="12"/>
      <c r="V17" s="12"/>
      <c r="W17" s="12"/>
      <c r="X17" s="12"/>
      <c r="Y17" s="12">
        <f>0.97*B17</f>
        <v>194</v>
      </c>
      <c r="Z17" s="12"/>
      <c r="AA17" s="12"/>
      <c r="AB17" s="12"/>
      <c r="AC17" s="12">
        <f>0.75*B17</f>
        <v>150</v>
      </c>
      <c r="AD17" s="8">
        <f t="shared" si="0"/>
        <v>1.168618950613374</v>
      </c>
      <c r="AE17" s="10">
        <f t="shared" si="1"/>
        <v>1.8419999999999999</v>
      </c>
      <c r="AF17" s="32">
        <f t="shared" si="2"/>
        <v>0.9</v>
      </c>
      <c r="AG17" s="5">
        <f t="shared" si="3"/>
        <v>368.4</v>
      </c>
      <c r="AH17" s="27">
        <f t="shared" si="4"/>
        <v>180</v>
      </c>
    </row>
    <row r="18" spans="1:34" s="3" customFormat="1" ht="33.75">
      <c r="A18" s="19">
        <v>14</v>
      </c>
      <c r="B18" s="23">
        <v>200</v>
      </c>
      <c r="C18" s="23" t="s">
        <v>14</v>
      </c>
      <c r="D18" s="23">
        <v>1073974</v>
      </c>
      <c r="E18" s="24" t="s">
        <v>27</v>
      </c>
      <c r="F18" s="12"/>
      <c r="G18" s="12"/>
      <c r="H18" s="12">
        <f>0.4*B18</f>
        <v>80</v>
      </c>
      <c r="I18" s="12">
        <f>0.2*B18</f>
        <v>40</v>
      </c>
      <c r="J18" s="12"/>
      <c r="K18" s="12"/>
      <c r="L18" s="12">
        <f>0.25*B18</f>
        <v>50</v>
      </c>
      <c r="M18" s="12"/>
      <c r="N18" s="12"/>
      <c r="O18" s="12"/>
      <c r="P18" s="12"/>
      <c r="Q18" s="12"/>
      <c r="R18" s="12"/>
      <c r="S18" s="12"/>
      <c r="T18" s="12"/>
      <c r="U18" s="12"/>
      <c r="V18" s="12"/>
      <c r="W18" s="12"/>
      <c r="X18" s="12"/>
      <c r="Y18" s="12"/>
      <c r="Z18" s="12"/>
      <c r="AA18" s="12"/>
      <c r="AB18" s="12">
        <f>0.42*B18</f>
        <v>84</v>
      </c>
      <c r="AC18" s="12">
        <f>0.24*B18</f>
        <v>48</v>
      </c>
      <c r="AD18" s="8">
        <f t="shared" si="0"/>
        <v>0.33310665801216677</v>
      </c>
      <c r="AE18" s="10">
        <f t="shared" si="1"/>
        <v>0.302</v>
      </c>
      <c r="AF18" s="32">
        <f t="shared" si="2"/>
        <v>0.25</v>
      </c>
      <c r="AG18" s="5">
        <f t="shared" si="3"/>
        <v>60.4</v>
      </c>
      <c r="AH18" s="27">
        <f t="shared" si="4"/>
        <v>50</v>
      </c>
    </row>
    <row r="19" spans="1:34" s="3" customFormat="1" ht="45">
      <c r="A19" s="20">
        <v>15</v>
      </c>
      <c r="B19" s="23">
        <v>30</v>
      </c>
      <c r="C19" s="23" t="s">
        <v>14</v>
      </c>
      <c r="D19" s="23">
        <v>1270192</v>
      </c>
      <c r="E19" s="24" t="s">
        <v>28</v>
      </c>
      <c r="F19" s="12"/>
      <c r="G19" s="12"/>
      <c r="H19" s="12"/>
      <c r="I19" s="12">
        <f>5*B19</f>
        <v>150</v>
      </c>
      <c r="J19" s="12"/>
      <c r="K19" s="12"/>
      <c r="L19" s="12">
        <f>5.12*B19</f>
        <v>153.6</v>
      </c>
      <c r="M19" s="12"/>
      <c r="N19" s="12"/>
      <c r="O19" s="12">
        <f>4.63*B19</f>
        <v>138.9</v>
      </c>
      <c r="P19" s="12"/>
      <c r="Q19" s="12">
        <f>4.99*B19</f>
        <v>149.70000000000002</v>
      </c>
      <c r="R19" s="12"/>
      <c r="S19" s="12"/>
      <c r="T19" s="12"/>
      <c r="U19" s="12"/>
      <c r="V19" s="12"/>
      <c r="W19" s="12"/>
      <c r="X19" s="12"/>
      <c r="Y19" s="12"/>
      <c r="Z19" s="12"/>
      <c r="AA19" s="12"/>
      <c r="AB19" s="12"/>
      <c r="AC19" s="12">
        <f>3.74*B19</f>
        <v>112.2</v>
      </c>
      <c r="AD19" s="8">
        <f t="shared" si="0"/>
        <v>0.12031610408037306</v>
      </c>
      <c r="AE19" s="32">
        <f t="shared" si="1"/>
        <v>4.696000000000001</v>
      </c>
      <c r="AF19" s="10">
        <f t="shared" si="2"/>
        <v>4.99</v>
      </c>
      <c r="AG19" s="28">
        <f t="shared" si="3"/>
        <v>140.88000000000002</v>
      </c>
      <c r="AH19" s="14">
        <f t="shared" si="4"/>
        <v>149.70000000000002</v>
      </c>
    </row>
    <row r="20" spans="1:34" s="3" customFormat="1" ht="30" customHeight="1">
      <c r="A20" s="17"/>
      <c r="B20" s="18"/>
      <c r="C20" s="18"/>
      <c r="D20" s="18"/>
      <c r="E20" s="16"/>
      <c r="F20" s="4"/>
      <c r="G20" s="4"/>
      <c r="H20" s="4"/>
      <c r="I20" s="4"/>
      <c r="J20" s="4"/>
      <c r="K20" s="4"/>
      <c r="L20" s="4"/>
      <c r="M20" s="4"/>
      <c r="N20" s="4"/>
      <c r="O20" s="4"/>
      <c r="P20" s="4"/>
      <c r="Q20" s="4"/>
      <c r="R20" s="4"/>
      <c r="S20" s="4"/>
      <c r="T20" s="4"/>
      <c r="U20" s="4"/>
      <c r="V20" s="4"/>
      <c r="W20" s="4"/>
      <c r="X20" s="4"/>
      <c r="Y20" s="4"/>
      <c r="Z20" s="4"/>
      <c r="AA20" s="4"/>
      <c r="AB20" s="4"/>
      <c r="AC20" s="4"/>
      <c r="AD20" s="7"/>
      <c r="AE20" s="58" t="s">
        <v>30</v>
      </c>
      <c r="AF20" s="59"/>
      <c r="AG20" s="60"/>
      <c r="AH20" s="29">
        <f>AH5+AH6+AH7+AG8+AG9+AG10+AH11+AG12+AG13+AH14+AG15+AH16+AH17+AH18+AG19</f>
        <v>11740.279999999999</v>
      </c>
    </row>
    <row r="21" spans="1:34" s="3" customFormat="1" ht="127.5" customHeight="1" hidden="1">
      <c r="A21" s="54" t="s">
        <v>57</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6" ht="32.25" customHeight="1"/>
    <row r="27" ht="12.75" customHeight="1"/>
  </sheetData>
  <sheetProtection/>
  <mergeCells count="14">
    <mergeCell ref="A21:AH21"/>
    <mergeCell ref="AD3:AD4"/>
    <mergeCell ref="D3:D4"/>
    <mergeCell ref="C3:C4"/>
    <mergeCell ref="AE20:AG20"/>
    <mergeCell ref="A1:AH1"/>
    <mergeCell ref="AE3:AF3"/>
    <mergeCell ref="A3:A4"/>
    <mergeCell ref="B3:B4"/>
    <mergeCell ref="A2:AH2"/>
    <mergeCell ref="AC3:AC4"/>
    <mergeCell ref="F3:AB3"/>
    <mergeCell ref="E3:E4"/>
    <mergeCell ref="AG3:AH3"/>
  </mergeCells>
  <printOptions horizontalCentered="1"/>
  <pageMargins left="0.27569444444444446" right="0.19652777777777777" top="0.15763888888888888" bottom="0.2361111111111111" header="0.5118055555555555" footer="0.5118055555555555"/>
  <pageSetup fitToHeight="1" fitToWidth="1" horizontalDpi="300" verticalDpi="300" orientation="landscape" paperSize="9" scale="55" r:id="rId2"/>
  <drawing r:id="rId1"/>
</worksheet>
</file>

<file path=xl/worksheets/sheet10.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B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B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Pgjmg</dc:creator>
  <cp:keywords/>
  <dc:description/>
  <cp:lastModifiedBy>user</cp:lastModifiedBy>
  <cp:lastPrinted>2019-08-14T17:55:57Z</cp:lastPrinted>
  <dcterms:created xsi:type="dcterms:W3CDTF">2011-03-04T12:16:52Z</dcterms:created>
  <dcterms:modified xsi:type="dcterms:W3CDTF">2022-01-14T02:44:36Z</dcterms:modified>
  <cp:category/>
  <cp:version/>
  <cp:contentType/>
  <cp:contentStatus/>
</cp:coreProperties>
</file>