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L_157_2022\"/>
    </mc:Choice>
  </mc:AlternateContent>
  <workbookProtection lockStructure="1"/>
  <bookViews>
    <workbookView xWindow="-120" yWindow="-120" windowWidth="15600" windowHeight="11760" tabRatio="500"/>
  </bookViews>
  <sheets>
    <sheet name="Plan1" sheetId="1" r:id="rId1"/>
    <sheet name="Plan2" sheetId="2" r:id="rId2"/>
    <sheet name="Plan3" sheetId="3" r:id="rId3"/>
    <sheet name="Plan4" sheetId="4" r:id="rId4"/>
    <sheet name="Plan5" sheetId="5" r:id="rId5"/>
    <sheet name="Plan6" sheetId="6" r:id="rId6"/>
    <sheet name="Plan7" sheetId="7" r:id="rId7"/>
    <sheet name="Plan8" sheetId="8" r:id="rId8"/>
    <sheet name="Plan9" sheetId="9" r:id="rId9"/>
    <sheet name="Plan10" sheetId="10" r:id="rId10"/>
    <sheet name="Plan11" sheetId="11" r:id="rId11"/>
    <sheet name="Plan12" sheetId="12" r:id="rId12"/>
    <sheet name="Plan13" sheetId="13" r:id="rId13"/>
    <sheet name="Plan14" sheetId="14" r:id="rId14"/>
    <sheet name="Plan15" sheetId="15" r:id="rId15"/>
    <sheet name="Plan16" sheetId="16" r:id="rId16"/>
  </sheets>
  <definedNames>
    <definedName name="__DdeLink__3920_1626016959">Plan1!$H$12</definedName>
    <definedName name="__DdeLink__4725_1635210797">Plan1!$E$23</definedName>
    <definedName name="TABLE_1">Plan1!#REF!</definedName>
    <definedName name="TABLE_10_1">NA()</definedName>
    <definedName name="TABLE_11_1">NA()</definedName>
    <definedName name="TABLE_12_1">NA()</definedName>
    <definedName name="TABLE_2_1">NA()</definedName>
    <definedName name="TABLE_3_1">NA()</definedName>
    <definedName name="TABLE_4_1">NA()</definedName>
    <definedName name="TABLE_5_1">NA()</definedName>
    <definedName name="TABLE_6_1">NA()</definedName>
    <definedName name="TABLE_7_1">NA()</definedName>
    <definedName name="TABLE_8_1">NA()</definedName>
    <definedName name="TABLE_9_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1" l="1"/>
  <c r="M14" i="1"/>
  <c r="M9" i="1"/>
  <c r="L9" i="1"/>
  <c r="M7" i="1"/>
  <c r="M23" i="1"/>
  <c r="M22" i="1"/>
  <c r="M21" i="1"/>
  <c r="M13" i="1"/>
  <c r="M12" i="1"/>
  <c r="M11" i="1"/>
  <c r="M10" i="1"/>
  <c r="M8" i="1"/>
  <c r="M6" i="1"/>
  <c r="M5" i="1"/>
  <c r="L23" i="1"/>
  <c r="L22" i="1"/>
  <c r="L21" i="1"/>
  <c r="L20" i="1"/>
  <c r="L19" i="1"/>
  <c r="L18" i="1"/>
  <c r="L17" i="1"/>
  <c r="L16" i="1"/>
  <c r="L15" i="1"/>
  <c r="L14" i="1"/>
  <c r="L13" i="1"/>
  <c r="L12" i="1"/>
  <c r="L11" i="1"/>
  <c r="L10" i="1"/>
  <c r="P10" i="1" s="1"/>
  <c r="S10" i="1" s="1"/>
  <c r="R10" i="1" s="1"/>
  <c r="L8" i="1"/>
  <c r="L7" i="1"/>
  <c r="L6" i="1"/>
  <c r="L5" i="1"/>
  <c r="J19" i="1"/>
  <c r="K22" i="1"/>
  <c r="K21" i="1"/>
  <c r="K15" i="1"/>
  <c r="J15" i="1"/>
  <c r="K14" i="1"/>
  <c r="K13" i="1"/>
  <c r="K12" i="1"/>
  <c r="K11" i="1"/>
  <c r="K10" i="1"/>
  <c r="K9" i="1"/>
  <c r="K8" i="1"/>
  <c r="K7" i="1"/>
  <c r="K6" i="1"/>
  <c r="K5" i="1"/>
  <c r="J23" i="1"/>
  <c r="J22" i="1"/>
  <c r="J21" i="1"/>
  <c r="P21" i="1" s="1"/>
  <c r="S21" i="1" s="1"/>
  <c r="R21" i="1" s="1"/>
  <c r="J20" i="1"/>
  <c r="J18" i="1"/>
  <c r="J17" i="1"/>
  <c r="J16" i="1"/>
  <c r="J14" i="1"/>
  <c r="J13" i="1"/>
  <c r="J12" i="1"/>
  <c r="J11" i="1"/>
  <c r="J10" i="1"/>
  <c r="J9" i="1"/>
  <c r="J8" i="1"/>
  <c r="J7" i="1"/>
  <c r="J6" i="1"/>
  <c r="J5" i="1"/>
  <c r="I21" i="1"/>
  <c r="I16" i="1"/>
  <c r="I15" i="1"/>
  <c r="N15" i="1" s="1"/>
  <c r="I14" i="1"/>
  <c r="I13" i="1"/>
  <c r="I12" i="1"/>
  <c r="I11" i="1"/>
  <c r="I10" i="1"/>
  <c r="I9" i="1"/>
  <c r="I8" i="1"/>
  <c r="O8" i="1" s="1"/>
  <c r="I7" i="1"/>
  <c r="I6" i="1"/>
  <c r="I5" i="1"/>
  <c r="O12" i="1" l="1"/>
  <c r="S12" i="1" s="1"/>
  <c r="R12" i="1" s="1"/>
  <c r="Q18" i="1"/>
  <c r="Q22" i="1"/>
  <c r="N14" i="1"/>
  <c r="Q21" i="1"/>
  <c r="Q10" i="1"/>
  <c r="P15" i="1"/>
  <c r="S15" i="1" s="1"/>
  <c r="R15" i="1" s="1"/>
  <c r="N17" i="1"/>
  <c r="Q15" i="1"/>
  <c r="P14" i="1"/>
  <c r="S14" i="1" s="1"/>
  <c r="R14" i="1" s="1"/>
  <c r="O21" i="1"/>
  <c r="N9" i="1"/>
  <c r="O15" i="1"/>
  <c r="N21" i="1"/>
  <c r="N23" i="1"/>
  <c r="Q8" i="1"/>
  <c r="P8" i="1"/>
  <c r="S8" i="1" s="1"/>
  <c r="R8" i="1" s="1"/>
  <c r="Q14" i="1"/>
  <c r="Q6" i="1"/>
  <c r="N12" i="1"/>
  <c r="P11" i="1"/>
  <c r="P18" i="1"/>
  <c r="N22" i="1"/>
  <c r="N10" i="1"/>
  <c r="N16" i="1"/>
  <c r="P7" i="1"/>
  <c r="S7" i="1" s="1"/>
  <c r="R7" i="1" s="1"/>
  <c r="N8" i="1"/>
  <c r="O14" i="1"/>
  <c r="N7" i="1"/>
  <c r="O13" i="1"/>
  <c r="Q20" i="1"/>
  <c r="O19" i="1"/>
  <c r="S19" i="1" s="1"/>
  <c r="R19" i="1" s="1"/>
  <c r="O17" i="1"/>
  <c r="S17" i="1" s="1"/>
  <c r="R17" i="1" s="1"/>
  <c r="Q23" i="1"/>
  <c r="O9" i="1"/>
  <c r="O10" i="1"/>
  <c r="P6" i="1"/>
  <c r="S6" i="1" s="1"/>
  <c r="R6" i="1" s="1"/>
  <c r="N13" i="1"/>
  <c r="N11" i="1"/>
  <c r="Q17" i="1"/>
  <c r="Q16" i="1"/>
  <c r="N6" i="1"/>
  <c r="P12" i="1"/>
  <c r="P17" i="1"/>
  <c r="P22" i="1"/>
  <c r="S22" i="1" s="1"/>
  <c r="R22" i="1" s="1"/>
  <c r="O6" i="1"/>
  <c r="O11" i="1"/>
  <c r="S11" i="1" s="1"/>
  <c r="R11" i="1" s="1"/>
  <c r="Q13" i="1"/>
  <c r="Q11" i="1"/>
  <c r="O18" i="1"/>
  <c r="S18" i="1" s="1"/>
  <c r="R18" i="1" s="1"/>
  <c r="O16" i="1"/>
  <c r="S16" i="1" s="1"/>
  <c r="R16" i="1" s="1"/>
  <c r="O22" i="1"/>
  <c r="P20" i="1"/>
  <c r="S20" i="1" s="1"/>
  <c r="R20" i="1" s="1"/>
  <c r="P16" i="1"/>
  <c r="P13" i="1"/>
  <c r="S13" i="1" s="1"/>
  <c r="R13" i="1" s="1"/>
  <c r="P9" i="1"/>
  <c r="S9" i="1" s="1"/>
  <c r="N18" i="1"/>
  <c r="Q19" i="1"/>
  <c r="Q7" i="1"/>
  <c r="Q12" i="1"/>
  <c r="P23" i="1"/>
  <c r="S23" i="1" s="1"/>
  <c r="R23" i="1" s="1"/>
  <c r="P19" i="1"/>
  <c r="Q9" i="1"/>
  <c r="O23" i="1"/>
  <c r="N19" i="1"/>
  <c r="O7" i="1"/>
  <c r="O20" i="1"/>
  <c r="N20" i="1"/>
  <c r="R9" i="1"/>
  <c r="O5" i="1"/>
  <c r="S5" i="1" s="1"/>
  <c r="R5" i="1" s="1"/>
  <c r="Q5" i="1"/>
  <c r="P5" i="1"/>
  <c r="N5" i="1"/>
</calcChain>
</file>

<file path=xl/sharedStrings.xml><?xml version="1.0" encoding="utf-8"?>
<sst xmlns="http://schemas.openxmlformats.org/spreadsheetml/2006/main" count="78" uniqueCount="50">
  <si>
    <t>OBJETO</t>
  </si>
  <si>
    <t>FORNECEDORES</t>
  </si>
  <si>
    <t>PREÇOS PÚBLICOS</t>
  </si>
  <si>
    <t>INTERNET</t>
  </si>
  <si>
    <t>PREÇOS DE REFERÊNCIA</t>
  </si>
  <si>
    <t xml:space="preserve">LOTE </t>
  </si>
  <si>
    <t>Item</t>
  </si>
  <si>
    <t>SIAD</t>
  </si>
  <si>
    <t>Quantl</t>
  </si>
  <si>
    <t>UNID.</t>
  </si>
  <si>
    <t>Descrição</t>
  </si>
  <si>
    <t>MAQNETE</t>
  </si>
  <si>
    <t>MÁXIMO DISTRIBUIDORA</t>
  </si>
  <si>
    <t>PAPYRUS</t>
  </si>
  <si>
    <t>BANCO DE PREÇOS</t>
  </si>
  <si>
    <t>VÁRIOS SITES</t>
  </si>
  <si>
    <t>MENOR PREÇO TOTAL</t>
  </si>
  <si>
    <t>PREÇO TOTAL MÉDIO</t>
  </si>
  <si>
    <t>PREÇO TOTAL MEDIANA</t>
  </si>
  <si>
    <t>COEFICIENTE DE VARIAÇÃO</t>
  </si>
  <si>
    <t>PREÇO UNITÁRIO SIAD</t>
  </si>
  <si>
    <t>PREÇO TOTAL SIAD</t>
  </si>
  <si>
    <t>Rolo com 184m</t>
  </si>
  <si>
    <t>BARBANTE – MATÉRIA PRIMA: ALGODÃO CRU; FIO: 08 FIOS, COMPOSTO DE DIVERSAS LINHAS ENTRELAÇADAS.</t>
  </si>
  <si>
    <t>Rolo c/ 100m</t>
  </si>
  <si>
    <t>PLÁSTICO PARA EMBALAGEM - TIPO: BOLHA; MEDIDAS: 1,30 METROS DE LARGURA; DIÂMETRO: DA BOLHA 8MM.</t>
  </si>
  <si>
    <t>Unidade</t>
  </si>
  <si>
    <t>FITA ADESIVA ESCRITÓRIO - TIPO: UMA FACE; MATÉRIA-PRIMA: POLIPROPILENO; MEDIDAS: 12MM X 50M; COR: TRANSPARENTE.</t>
  </si>
  <si>
    <t>FITA ADESIVA PARA EMBALAGEM - MATÉRIA-PRIMA: POLIPROPILENO; DIMENSÕES: 48MM X 50 METROS; TIPO: ADERÊNCIA EM UMA FACE, COR MARROM; NA EMBALAGEM DEVERÁ CONSTAR A DATA DA FABRICAÇÃO, DA VALIDADE E NÚMERO DO LOTE.</t>
  </si>
  <si>
    <t>FITA ADESIVA PARA EMBALAGEM MATÉRIA-PRIMA: ADESIVO DE RESINA DE BORRACHA SINTÉTICA; DIMENSÕES: 45MM X 45M ESPESSURA TOTAL DE 0,040MM; TIPO: ADERÊNCIA DE UMA FACE, TRANSPARENTE; COM FILME   DE   POLIPROPILENO   BIOORIENTADO. NA EMBALAGEM DEVERÁ CONSTAR A DATA DA FABRICAÇÃO, PRAZO DE VALIDADE E NÚMERO DE LOTE.</t>
  </si>
  <si>
    <t>FITA CREPE - MEDIDAS: 18MM X 50M; TUBETE INDICANDO MARCA DO FABRICANTE E VALIDADE DO PRODUTO. EMBALAGEM COM DADOS DE IDENTIFICAÇÃO DO PRODUTO.</t>
  </si>
  <si>
    <t>FITA CREPE - MEDIDAS: 48MM X 50M; FITA ADESIVA CREPE; BRANCA 01 LADO; ALTA CAPACIDADE DE ADERÊNCIA EM PAPELÃO E PAPEL KRAFT.</t>
  </si>
  <si>
    <r>
      <t xml:space="preserve">CAIXA ARQUIVO MORTO - MATÉRIA-PRIMA: PAPELÃO RECICLADO; GRAMATURA: MÍNIMA 400 G/M2; DIMENSÕES (C X L X A): MENINAS 360 MM X 135 MM X 250 MM; COR: PARDA; CARACTERÍSTICAS GERAIS: DESMONTÁVEL, COM IMPRESSÃO E VISOR; COMPLEMENTAÇÃO DA ESPECIFICAÇÃO DO ITEM DE MATERIAL: CAIXA PARA ARQUIVO MORTO COM IMPRESSÃO EM TRÊS LADOS; FECHAMENTO DUPLO REFORÇADO </t>
    </r>
    <r>
      <rPr>
        <b/>
        <sz val="9"/>
        <rFont val="Arial"/>
        <family val="2"/>
        <charset val="1"/>
      </rPr>
      <t>(COMPLEMENTAÇÃO DA DESCRIÇÃO CONFORME APENSO I).</t>
    </r>
  </si>
  <si>
    <t>PASTA PARA ARQUIVO - IDENTIFICAÇÃO: TUBO; MATÉRIA-PRIMA: POLIETILENO; TIPO PRENDEDOR: GARRA INTERNA EM METAL; TAMANHO: 240MM X 340MM X 50MM; VISOR: COM VISOR; COR: AZUL; PASTA TIPO TUBO PARA 02 FUROS, EM POLIETILENO, COR: AZUL, MEDIDA: 240MM X 340MM X 50MM, GARRA INTERNA EM METAL COM PINTURA EPOXI PRETO.</t>
  </si>
  <si>
    <t>PASTA PARA ARQUIVO - IDENTIFICAÇÃO: TUBO; MATÉRIA-PRIMA: POLIETILENO; TIPO PRENDEDOR: GARRA INTERNA DE METAL; TAMANHO: 240MM X 340MM X 70MM; VISOR: COM VISOR; COR: AZUL; PASTA TIPO TUBO COM 02 FUROS, EM POLIETILENO, COR: AZUL, MEDIDA: 240MM X 340MM X 70MM, GARRA INTERNA EM METAL COM PINTURA EPOXI PRETO.</t>
  </si>
  <si>
    <t>PASTA AZ - MATÉRIA-PRIMA: PAPELÃO PRENSADO; LARGURA LOMBO: LARGO DE 80MM; DIMENSÕES: 280 X 350MM; TIPO PRENDEDOR: ALAVANCA; NÚMERO DE GUIAS: 02 ARGOLAS; FORMATO DAS GUIAS: EM D; VISOR: COM VISOR; COMPLEMENTAÇÃO DA ESPECIFICAÇÃO DO ITEM DE MATERIAL: AS FERRAGENS DEVEM SER ANTI-OXIDANTES, DE ALTA PRECISÃO PARA O FECHAMENTO PERFEITO DOS ARCOS. DEVE CONTER BARRA DE CONTENÇÃO DE PAPEIS EM PLÁSTICO RESISTENTE. DEVE SER FORRADA COM PAPEL FANTASIA OU LISO, COM REFORÇO NA PARTE INFERIOR PARA EVITAR DESGASTE POR FRICÇÃO. ESPESSURA DA CAPA DE 2MM APROXIMADAMENTE, DISTÂNCIA ENTRE AS GUIAS DE 80MM APROXIMADAMENTE E DIÂMETRO DO ARCO EM 45MM APROXIMADAMENTE.</t>
  </si>
  <si>
    <t>CAIXA DE PAPELÃO - DIMENSÕES: 56 X 45 X 27 CM; MATÉRIA-PRIMA: PAPELÃO PARDO; GRAMATURA: 440 G/M2; ACABAMENTO: COM 04 ABAS, SEM IMPRESSÃO, MODELO NORMAL; COMPLEMENTAÇÃO DA ESPECIFICAÇÃO DO ITEM DE MATERIAL: CAIXA PARA EMBALAGEM, FABRICADA EM PAPELÃO PARDO DE 440G/M²,TAMANHO DE 56CM/COMPRIMENTO X 45CM/LARGURA X 27CM/ALTURA.</t>
  </si>
  <si>
    <t>N/C</t>
  </si>
  <si>
    <t>N/E</t>
  </si>
  <si>
    <t>CAIXA DE PAPELÃO - DIMENSÕES: 48CM LARGURA X 58CM DE COMPRIMENTO X 35CM ALTURA; MATÉRIA-PRIMA: KRAFT MICRO ONDULADO; GRAMATURA: 460 G/M2; ACABAMENTO: COM 2 ABAS E FECHAMENTO LATERAL EM GRAMPO.</t>
  </si>
  <si>
    <t>UNIDADE</t>
  </si>
  <si>
    <r>
      <t xml:space="preserve">CAIXA DE PAPELAO - DIMENSOES: 89 X 69 X 14 CM (C X L X A); MATERIA-PRIMA: PAPELAO PARDO; GRAMATURA: 440 G/M²; ACABAMENTO: COM 4 ABAS, SEM IMPRESSAO, MODELO NORMAL; </t>
    </r>
    <r>
      <rPr>
        <b/>
        <sz val="9"/>
        <color rgb="FF000000"/>
        <rFont val="Arial"/>
        <family val="2"/>
        <charset val="1"/>
      </rPr>
      <t>COMPLEMENTAÇÃO DA DESCRIÇÃO CONFORME APENSO I)</t>
    </r>
  </si>
  <si>
    <r>
      <t>CAIXA DE PAPELAO - DIMENSOES: 18 X 37 X 54 CM; MATERIA-PRIMA: PAPELAO PARDO; GRAMATURA: 440 G/M2; ACABAMENTO: COM 04 ABAS, SEM IMPRESSAO, MODELO NORMAL;</t>
    </r>
    <r>
      <rPr>
        <b/>
        <sz val="9"/>
        <color rgb="FF000000"/>
        <rFont val="Arial"/>
        <family val="2"/>
        <charset val="1"/>
      </rPr>
      <t>COMPLEMENTAÇÃO DA DESCRIÇÃO CONFORME APENSO I)</t>
    </r>
  </si>
  <si>
    <r>
      <t>CAIXA DE PAPELAO - DIMENSOES: 50 X 50 X 50 CM; MATERIA-PRIMA: PAPELAO PARDO; GRAMATURA: 440 G/M2; ACABAMENTO: COM 04 ABAS, SEM IMPRESSAO, MODELO NORMAL;</t>
    </r>
    <r>
      <rPr>
        <b/>
        <sz val="9"/>
        <color rgb="FF000000"/>
        <rFont val="Arial"/>
        <family val="2"/>
        <charset val="1"/>
      </rPr>
      <t>COMPLEMENTAÇÃO DA DESCRIÇÃO CONFORME APENSO I)</t>
    </r>
  </si>
  <si>
    <t>PLASTICO PARA PASTA CATALOGO - ESPESSURA: 0,15MM, EM POLIETILENO BAIXA DENSIDADE; TIPO: 04 FUROS; MEDIDAS: 240 X 330MM;</t>
  </si>
  <si>
    <t>Caixa  c/ 10 projeções</t>
  </si>
  <si>
    <t>DIVISORIA PARA ARQUIVO - MATERIA-PRIMA: PLASTICO; MEDIDAS: 210 X 297MM; TIPO PROJECAO: ALFA;</t>
  </si>
  <si>
    <t>Quilograma</t>
  </si>
  <si>
    <t>SACO PLASTICO, EM BOBINA, PARA EMBALAGEM - TIPO PLASTICO: TRANSPARENTE, PICOTADO; CAPACIDADE OU DIMENSOES: 20 X 30CM, ESPESSURA 0,10MM;</t>
  </si>
  <si>
    <t xml:space="preserve">Processo: SEI 19.16.3900.0051054/2021-88                                                                                                                                                                                                                                                                                                                                                                                                                                                                                                                                                                                                                                                                      Mapa de Preços -  MATERIAIS DECONSUMO -  LOTE 06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</si>
</sst>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 (&quot;#,##0.00\);&quot; -&quot;#\ ;@\ "/>
  </numFmts>
  <fonts count="14" x14ac:knownFonts="1">
    <font>
      <sz val="10"/>
      <name val="Arial"/>
      <family val="2"/>
    </font>
    <font>
      <sz val="10"/>
      <name val="Arial"/>
    </font>
    <font>
      <sz val="8"/>
      <name val="Arial"/>
      <family val="2"/>
    </font>
    <font>
      <b/>
      <sz val="8"/>
      <name val="Arial"/>
      <family val="2"/>
    </font>
    <font>
      <sz val="10"/>
      <name val="Arial"/>
      <family val="2"/>
    </font>
    <font>
      <sz val="10"/>
      <name val="Times New Roman"/>
      <family val="1"/>
    </font>
    <font>
      <b/>
      <sz val="11"/>
      <name val="Arial"/>
      <family val="2"/>
    </font>
    <font>
      <b/>
      <sz val="12"/>
      <name val="Arial"/>
      <family val="2"/>
    </font>
    <font>
      <b/>
      <sz val="12"/>
      <name val="Times New Roman"/>
      <family val="1"/>
    </font>
    <font>
      <b/>
      <sz val="10"/>
      <name val="Arial"/>
      <family val="2"/>
    </font>
    <font>
      <sz val="8"/>
      <name val="Arial"/>
      <family val="2"/>
      <charset val="1"/>
    </font>
    <font>
      <sz val="14"/>
      <name val="Times New Roman"/>
      <family val="1"/>
    </font>
    <font>
      <b/>
      <sz val="9"/>
      <name val="Arial"/>
      <family val="2"/>
      <charset val="1"/>
    </font>
    <font>
      <b/>
      <sz val="9"/>
      <color rgb="FF000000"/>
      <name val="Arial"/>
      <family val="2"/>
      <charset val="1"/>
    </font>
  </fonts>
  <fills count="3">
    <fill>
      <patternFill patternType="none"/>
    </fill>
    <fill>
      <patternFill patternType="gray125"/>
    </fill>
    <fill>
      <patternFill patternType="solid">
        <fgColor theme="7" tint="0.59999389629810485"/>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9" fontId="1" fillId="0" borderId="0" applyFill="0" applyBorder="0" applyAlignment="0" applyProtection="0"/>
    <xf numFmtId="164" fontId="4" fillId="0" borderId="0" applyFill="0" applyBorder="0" applyAlignment="0" applyProtection="0"/>
  </cellStyleXfs>
  <cellXfs count="43">
    <xf numFmtId="0" fontId="0" fillId="0" borderId="0" xfId="0"/>
    <xf numFmtId="0" fontId="0" fillId="0" borderId="0" xfId="0" applyFont="1" applyAlignment="1">
      <alignment horizontal="center"/>
    </xf>
    <xf numFmtId="0" fontId="0" fillId="0" borderId="0" xfId="0" applyFont="1"/>
    <xf numFmtId="0" fontId="0" fillId="0" borderId="0" xfId="0" applyFont="1" applyFill="1"/>
    <xf numFmtId="0" fontId="2" fillId="0" borderId="0" xfId="0" applyFont="1"/>
    <xf numFmtId="0" fontId="2" fillId="0" borderId="0" xfId="0" applyFont="1" applyAlignment="1">
      <alignment horizontal="left"/>
    </xf>
    <xf numFmtId="0" fontId="3" fillId="0" borderId="0" xfId="0" applyFont="1" applyAlignment="1">
      <alignment vertical="center"/>
    </xf>
    <xf numFmtId="0" fontId="3" fillId="0" borderId="0" xfId="0" applyFont="1" applyFill="1" applyAlignment="1">
      <alignment vertical="center"/>
    </xf>
    <xf numFmtId="0" fontId="6" fillId="0" borderId="0" xfId="0" applyFont="1" applyAlignment="1">
      <alignment horizontal="left"/>
    </xf>
    <xf numFmtId="0" fontId="2" fillId="0" borderId="0" xfId="0" applyFont="1" applyFill="1"/>
    <xf numFmtId="0" fontId="10" fillId="0" borderId="1" xfId="0" applyFont="1" applyBorder="1" applyAlignment="1">
      <alignment horizontal="left" vertical="center" wrapText="1"/>
    </xf>
    <xf numFmtId="0" fontId="2" fillId="0" borderId="0" xfId="0" applyFont="1" applyAlignment="1"/>
    <xf numFmtId="0" fontId="0" fillId="0" borderId="1" xfId="0"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4" fontId="5" fillId="0" borderId="1" xfId="0" applyNumberFormat="1" applyFont="1" applyFill="1" applyBorder="1" applyAlignment="1" applyProtection="1">
      <alignment horizontal="center" vertical="center" wrapText="1"/>
      <protection locked="0"/>
    </xf>
    <xf numFmtId="164" fontId="5" fillId="0" borderId="1" xfId="2" applyFont="1" applyFill="1" applyBorder="1" applyAlignment="1" applyProtection="1">
      <alignment horizontal="center" vertical="center"/>
      <protection locked="0"/>
    </xf>
    <xf numFmtId="9" fontId="1" fillId="0" borderId="1" xfId="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0" fillId="0" borderId="1" xfId="0" applyFill="1" applyBorder="1" applyAlignment="1">
      <alignment horizontal="center" vertical="center" wrapText="1"/>
    </xf>
    <xf numFmtId="0" fontId="10" fillId="0" borderId="1" xfId="0" applyFont="1" applyFill="1" applyBorder="1" applyAlignment="1">
      <alignment horizontal="left" vertical="center" wrapText="1"/>
    </xf>
    <xf numFmtId="9" fontId="1" fillId="0" borderId="1" xfId="1" applyFill="1" applyBorder="1" applyAlignment="1">
      <alignment horizontal="center" vertical="center" wrapText="1"/>
    </xf>
    <xf numFmtId="0" fontId="0" fillId="2" borderId="1" xfId="0" applyFont="1" applyFill="1" applyBorder="1" applyAlignment="1">
      <alignment horizontal="center" vertical="center" wrapText="1"/>
    </xf>
    <xf numFmtId="0" fontId="2" fillId="0" borderId="4" xfId="0" applyFont="1" applyBorder="1" applyAlignment="1">
      <alignment horizont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7" fillId="0" borderId="2"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2" fillId="0" borderId="0" xfId="0" applyFont="1" applyAlignment="1">
      <alignment horizont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1" xfId="0" applyFont="1" applyFill="1" applyBorder="1" applyAlignment="1">
      <alignment horizontal="center" vertical="center" wrapText="1"/>
    </xf>
  </cellXfs>
  <cellStyles count="3">
    <cellStyle name="Normal" xfId="0" builtinId="0"/>
    <cellStyle name="Porcentagem" xfId="1" builtinId="5"/>
    <cellStyle name="Vírgula"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0</xdr:row>
      <xdr:rowOff>104775</xdr:rowOff>
    </xdr:from>
    <xdr:to>
      <xdr:col>4</xdr:col>
      <xdr:colOff>504825</xdr:colOff>
      <xdr:row>0</xdr:row>
      <xdr:rowOff>704850</xdr:rowOff>
    </xdr:to>
    <xdr:pic>
      <xdr:nvPicPr>
        <xdr:cNvPr id="2" name="Imagem 1">
          <a:extLst>
            <a:ext uri="{FF2B5EF4-FFF2-40B4-BE49-F238E27FC236}">
              <a16:creationId xmlns:a16="http://schemas.microsoft.com/office/drawing/2014/main" id="{2E24204A-C0AD-4BC2-9707-12FD81F44251}"/>
            </a:ext>
          </a:extLst>
        </xdr:cNvPr>
        <xdr:cNvPicPr>
          <a:picLocks noChangeAspect="1"/>
        </xdr:cNvPicPr>
      </xdr:nvPicPr>
      <xdr:blipFill>
        <a:blip xmlns:r="http://schemas.openxmlformats.org/officeDocument/2006/relationships" r:embed="rId1"/>
        <a:stretch>
          <a:fillRect/>
        </a:stretch>
      </xdr:blipFill>
      <xdr:spPr>
        <a:xfrm>
          <a:off x="1600200" y="104775"/>
          <a:ext cx="1733550" cy="600075"/>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abSelected="1" showOutlineSymbols="0" topLeftCell="A19" zoomScale="80" zoomScaleNormal="80" workbookViewId="0">
      <selection activeCell="C24" sqref="C24:M24"/>
    </sheetView>
  </sheetViews>
  <sheetFormatPr defaultColWidth="11.28515625" defaultRowHeight="12.75" x14ac:dyDescent="0.2"/>
  <cols>
    <col min="1" max="3" width="11.28515625" style="4"/>
    <col min="4" max="4" width="8.5703125" style="1" customWidth="1"/>
    <col min="5" max="5" width="8.85546875" style="1" customWidth="1"/>
    <col min="6" max="6" width="8.42578125" style="1" customWidth="1"/>
    <col min="7" max="7" width="9.28515625" style="2" customWidth="1"/>
    <col min="8" max="8" width="45.28515625" style="2" customWidth="1"/>
    <col min="9" max="9" width="15.28515625" style="3" hidden="1" customWidth="1"/>
    <col min="10" max="10" width="16" style="3" hidden="1" customWidth="1"/>
    <col min="11" max="12" width="12.28515625" style="3" hidden="1" customWidth="1"/>
    <col min="13" max="13" width="18" style="3" hidden="1" customWidth="1"/>
    <col min="14" max="14" width="16.7109375" style="2" hidden="1" customWidth="1"/>
    <col min="15" max="15" width="15.140625" style="3" hidden="1" customWidth="1"/>
    <col min="16" max="16" width="13.28515625" style="3" hidden="1" customWidth="1"/>
    <col min="17" max="17" width="13.85546875" style="4" hidden="1" customWidth="1"/>
    <col min="18" max="18" width="13.85546875" style="9" customWidth="1"/>
    <col min="19" max="19" width="13.28515625" style="9" customWidth="1"/>
    <col min="20" max="16384" width="11.28515625" style="4"/>
  </cols>
  <sheetData>
    <row r="1" spans="1:20" ht="74.650000000000006" customHeight="1" x14ac:dyDescent="0.2">
      <c r="A1" s="37"/>
      <c r="B1" s="37"/>
      <c r="C1" s="30"/>
      <c r="D1" s="30"/>
      <c r="E1" s="30"/>
      <c r="F1" s="30"/>
      <c r="G1" s="30"/>
      <c r="H1" s="30"/>
      <c r="I1" s="30"/>
      <c r="J1" s="30"/>
      <c r="K1" s="30"/>
      <c r="L1" s="30"/>
      <c r="M1" s="30"/>
      <c r="N1" s="30"/>
      <c r="O1" s="30"/>
      <c r="P1" s="30"/>
      <c r="Q1" s="30"/>
      <c r="R1" s="30"/>
      <c r="S1" s="30"/>
      <c r="T1" s="11"/>
    </row>
    <row r="2" spans="1:20" s="8" customFormat="1" ht="105" customHeight="1" x14ac:dyDescent="0.25">
      <c r="A2" s="37"/>
      <c r="B2" s="37"/>
      <c r="C2" s="35" t="s">
        <v>49</v>
      </c>
      <c r="D2" s="35"/>
      <c r="E2" s="35"/>
      <c r="F2" s="35"/>
      <c r="G2" s="35"/>
      <c r="H2" s="35"/>
      <c r="I2" s="35"/>
      <c r="J2" s="35"/>
      <c r="K2" s="35"/>
      <c r="L2" s="36"/>
      <c r="M2" s="35"/>
      <c r="N2" s="35"/>
      <c r="O2" s="35"/>
      <c r="P2" s="35"/>
      <c r="Q2" s="35"/>
      <c r="R2" s="35"/>
      <c r="S2" s="35"/>
    </row>
    <row r="3" spans="1:20" s="5" customFormat="1" ht="47.45" customHeight="1" x14ac:dyDescent="0.2">
      <c r="A3" s="37"/>
      <c r="B3" s="37"/>
      <c r="C3" s="34" t="s">
        <v>0</v>
      </c>
      <c r="D3" s="34"/>
      <c r="E3" s="34"/>
      <c r="F3" s="34"/>
      <c r="G3" s="34"/>
      <c r="H3" s="34"/>
      <c r="I3" s="38" t="s">
        <v>1</v>
      </c>
      <c r="J3" s="39"/>
      <c r="K3" s="39"/>
      <c r="L3" s="21" t="s">
        <v>2</v>
      </c>
      <c r="M3" s="22" t="s">
        <v>3</v>
      </c>
      <c r="N3" s="31" t="s">
        <v>4</v>
      </c>
      <c r="O3" s="32"/>
      <c r="P3" s="32"/>
      <c r="Q3" s="32"/>
      <c r="R3" s="32"/>
      <c r="S3" s="33"/>
    </row>
    <row r="4" spans="1:20" s="6" customFormat="1" ht="55.9" customHeight="1" x14ac:dyDescent="0.2">
      <c r="A4" s="37"/>
      <c r="B4" s="37"/>
      <c r="C4" s="29" t="s">
        <v>5</v>
      </c>
      <c r="D4" s="14" t="s">
        <v>6</v>
      </c>
      <c r="E4" s="25" t="s">
        <v>7</v>
      </c>
      <c r="F4" s="25" t="s">
        <v>8</v>
      </c>
      <c r="G4" s="25" t="s">
        <v>9</v>
      </c>
      <c r="H4" s="25" t="s">
        <v>10</v>
      </c>
      <c r="I4" s="15" t="s">
        <v>11</v>
      </c>
      <c r="J4" s="15" t="s">
        <v>12</v>
      </c>
      <c r="K4" s="15" t="s">
        <v>13</v>
      </c>
      <c r="L4" s="15" t="s">
        <v>14</v>
      </c>
      <c r="M4" s="15" t="s">
        <v>15</v>
      </c>
      <c r="N4" s="16" t="s">
        <v>16</v>
      </c>
      <c r="O4" s="13" t="s">
        <v>17</v>
      </c>
      <c r="P4" s="13" t="s">
        <v>18</v>
      </c>
      <c r="Q4" s="13" t="s">
        <v>19</v>
      </c>
      <c r="R4" s="13" t="s">
        <v>20</v>
      </c>
      <c r="S4" s="13" t="s">
        <v>21</v>
      </c>
    </row>
    <row r="5" spans="1:20" s="7" customFormat="1" ht="93" customHeight="1" x14ac:dyDescent="0.2">
      <c r="A5" s="37"/>
      <c r="B5" s="37"/>
      <c r="C5" s="40">
        <v>6</v>
      </c>
      <c r="D5" s="23">
        <v>1</v>
      </c>
      <c r="E5" s="13">
        <v>214310</v>
      </c>
      <c r="F5" s="13">
        <v>1500</v>
      </c>
      <c r="G5" s="12" t="s">
        <v>22</v>
      </c>
      <c r="H5" s="10" t="s">
        <v>23</v>
      </c>
      <c r="I5" s="24">
        <f>F5*8</f>
        <v>12000</v>
      </c>
      <c r="J5" s="18">
        <f>F5*8.5</f>
        <v>12750</v>
      </c>
      <c r="K5" s="18">
        <f>F5*7.8</f>
        <v>11700</v>
      </c>
      <c r="L5" s="18">
        <f>F5*8.99</f>
        <v>13485</v>
      </c>
      <c r="M5" s="18">
        <f>F5*10.3</f>
        <v>15450.000000000002</v>
      </c>
      <c r="N5" s="18">
        <f>MIN(I5:M5)</f>
        <v>11700</v>
      </c>
      <c r="O5" s="18">
        <f>AVERAGE(I5:M5)</f>
        <v>13077</v>
      </c>
      <c r="P5" s="19">
        <f>MEDIAN(I5:M5)</f>
        <v>12750</v>
      </c>
      <c r="Q5" s="20">
        <f t="shared" ref="Q5:Q23" si="0">STDEV(I5:M5)/AVERAGE(I5:M5)</f>
        <v>0.11445372753886782</v>
      </c>
      <c r="R5" s="18">
        <f>S5/F5</f>
        <v>8.718</v>
      </c>
      <c r="S5" s="18">
        <f>O5</f>
        <v>13077</v>
      </c>
    </row>
    <row r="6" spans="1:20" s="7" customFormat="1" ht="72.75" customHeight="1" x14ac:dyDescent="0.2">
      <c r="A6" s="37"/>
      <c r="B6" s="37"/>
      <c r="C6" s="41"/>
      <c r="D6" s="23">
        <v>2</v>
      </c>
      <c r="E6" s="13">
        <v>266345</v>
      </c>
      <c r="F6" s="13">
        <v>20</v>
      </c>
      <c r="G6" s="12" t="s">
        <v>24</v>
      </c>
      <c r="H6" s="10" t="s">
        <v>25</v>
      </c>
      <c r="I6" s="24">
        <f>F6*120</f>
        <v>2400</v>
      </c>
      <c r="J6" s="18">
        <f>F6*251.1</f>
        <v>5022</v>
      </c>
      <c r="K6" s="18">
        <f>F6*99</f>
        <v>1980</v>
      </c>
      <c r="L6" s="18">
        <f>F6*97.04</f>
        <v>1940.8000000000002</v>
      </c>
      <c r="M6" s="18">
        <f>F6*75</f>
        <v>1500</v>
      </c>
      <c r="N6" s="18">
        <f t="shared" ref="N6:N9" si="1">MIN(I6:M6)</f>
        <v>1500</v>
      </c>
      <c r="O6" s="18">
        <f t="shared" ref="O6:O9" si="2">AVERAGE(I6:M6)</f>
        <v>2568.56</v>
      </c>
      <c r="P6" s="19">
        <f t="shared" ref="P6:P9" si="3">MEDIAN(I6:M6)</f>
        <v>1980</v>
      </c>
      <c r="Q6" s="20">
        <f t="shared" si="0"/>
        <v>0.54817502531901563</v>
      </c>
      <c r="R6" s="18">
        <f>S6/F6</f>
        <v>99</v>
      </c>
      <c r="S6" s="18">
        <f>P6</f>
        <v>1980</v>
      </c>
    </row>
    <row r="7" spans="1:20" s="7" customFormat="1" ht="66.75" customHeight="1" x14ac:dyDescent="0.2">
      <c r="A7" s="37"/>
      <c r="B7" s="37"/>
      <c r="C7" s="41"/>
      <c r="D7" s="23">
        <v>3</v>
      </c>
      <c r="E7" s="13">
        <v>974234</v>
      </c>
      <c r="F7" s="13">
        <v>1500</v>
      </c>
      <c r="G7" s="12" t="s">
        <v>26</v>
      </c>
      <c r="H7" s="10" t="s">
        <v>27</v>
      </c>
      <c r="I7" s="24">
        <f>F7*1.5</f>
        <v>2250</v>
      </c>
      <c r="J7" s="18">
        <f>F7*1.9</f>
        <v>2850</v>
      </c>
      <c r="K7" s="18">
        <f>F7*1.9</f>
        <v>2850</v>
      </c>
      <c r="L7" s="18">
        <f>F7*1.24</f>
        <v>1860</v>
      </c>
      <c r="M7" s="18">
        <f>F7*15.7/6</f>
        <v>3925</v>
      </c>
      <c r="N7" s="18">
        <f t="shared" si="1"/>
        <v>1860</v>
      </c>
      <c r="O7" s="18">
        <f t="shared" si="2"/>
        <v>2747</v>
      </c>
      <c r="P7" s="19">
        <f t="shared" si="3"/>
        <v>2850</v>
      </c>
      <c r="Q7" s="20">
        <f t="shared" si="0"/>
        <v>0.28447534525842388</v>
      </c>
      <c r="R7" s="18">
        <f>S7/F7</f>
        <v>1.9</v>
      </c>
      <c r="S7" s="18">
        <f>P7</f>
        <v>2850</v>
      </c>
    </row>
    <row r="8" spans="1:20" s="7" customFormat="1" ht="80.25" customHeight="1" x14ac:dyDescent="0.2">
      <c r="A8" s="37"/>
      <c r="B8" s="37"/>
      <c r="C8" s="41"/>
      <c r="D8" s="23">
        <v>4</v>
      </c>
      <c r="E8" s="13">
        <v>789844</v>
      </c>
      <c r="F8" s="13">
        <v>3500</v>
      </c>
      <c r="G8" s="12" t="s">
        <v>26</v>
      </c>
      <c r="H8" s="10" t="s">
        <v>28</v>
      </c>
      <c r="I8" s="24">
        <f>F8*6.5</f>
        <v>22750</v>
      </c>
      <c r="J8" s="18">
        <f>F8*4.2</f>
        <v>14700</v>
      </c>
      <c r="K8" s="18">
        <f>F8*4.5</f>
        <v>15750</v>
      </c>
      <c r="L8" s="18">
        <f>F8*3.25</f>
        <v>11375</v>
      </c>
      <c r="M8" s="18">
        <f>F8*18</f>
        <v>63000</v>
      </c>
      <c r="N8" s="18">
        <f t="shared" si="1"/>
        <v>11375</v>
      </c>
      <c r="O8" s="18">
        <f t="shared" si="2"/>
        <v>25515</v>
      </c>
      <c r="P8" s="19">
        <f t="shared" si="3"/>
        <v>15750</v>
      </c>
      <c r="Q8" s="20">
        <f t="shared" si="0"/>
        <v>0.83716174792429199</v>
      </c>
      <c r="R8" s="18">
        <f>S8/F8</f>
        <v>4.5</v>
      </c>
      <c r="S8" s="18">
        <f>P8</f>
        <v>15750</v>
      </c>
    </row>
    <row r="9" spans="1:20" s="7" customFormat="1" ht="89.25" customHeight="1" x14ac:dyDescent="0.2">
      <c r="A9" s="37"/>
      <c r="B9" s="37"/>
      <c r="C9" s="41"/>
      <c r="D9" s="13">
        <v>5</v>
      </c>
      <c r="E9" s="13">
        <v>1155407</v>
      </c>
      <c r="F9" s="13">
        <v>10000</v>
      </c>
      <c r="G9" s="26" t="s">
        <v>26</v>
      </c>
      <c r="H9" s="27" t="s">
        <v>29</v>
      </c>
      <c r="I9" s="24">
        <f>F9*5.5</f>
        <v>55000</v>
      </c>
      <c r="J9" s="18">
        <f>F9*4</f>
        <v>40000</v>
      </c>
      <c r="K9" s="18">
        <f>F9*3.8</f>
        <v>38000</v>
      </c>
      <c r="L9" s="18">
        <f>F9*4.46</f>
        <v>44600</v>
      </c>
      <c r="M9" s="18">
        <f>F9*3.33</f>
        <v>33300</v>
      </c>
      <c r="N9" s="18">
        <f t="shared" si="1"/>
        <v>33300</v>
      </c>
      <c r="O9" s="18">
        <f t="shared" si="2"/>
        <v>42180</v>
      </c>
      <c r="P9" s="19">
        <f t="shared" si="3"/>
        <v>40000</v>
      </c>
      <c r="Q9" s="28">
        <f t="shared" si="0"/>
        <v>0.19524446049557806</v>
      </c>
      <c r="R9" s="18">
        <f t="shared" ref="R9:R10" si="4">S9/F9</f>
        <v>4</v>
      </c>
      <c r="S9" s="18">
        <f t="shared" ref="S9:S10" si="5">P9</f>
        <v>40000</v>
      </c>
    </row>
    <row r="10" spans="1:20" s="7" customFormat="1" ht="58.5" customHeight="1" x14ac:dyDescent="0.2">
      <c r="A10" s="37"/>
      <c r="B10" s="37"/>
      <c r="C10" s="41"/>
      <c r="D10" s="13">
        <v>6</v>
      </c>
      <c r="E10" s="13">
        <v>1810677</v>
      </c>
      <c r="F10" s="13">
        <v>2000</v>
      </c>
      <c r="G10" s="12" t="s">
        <v>26</v>
      </c>
      <c r="H10" s="10" t="s">
        <v>30</v>
      </c>
      <c r="I10" s="24">
        <f>F10*5</f>
        <v>10000</v>
      </c>
      <c r="J10" s="18">
        <f>F10*3.89</f>
        <v>7780</v>
      </c>
      <c r="K10" s="18">
        <f>F10*3.5</f>
        <v>7000</v>
      </c>
      <c r="L10" s="18">
        <f>F10*5.69</f>
        <v>11380</v>
      </c>
      <c r="M10" s="18">
        <f>F10*2.86</f>
        <v>5720</v>
      </c>
      <c r="N10" s="18">
        <f t="shared" ref="N10:N15" si="6">MIN(I10:M10)</f>
        <v>5720</v>
      </c>
      <c r="O10" s="18">
        <f t="shared" ref="O10:O15" si="7">AVERAGE(I10:M10)</f>
        <v>8376</v>
      </c>
      <c r="P10" s="19">
        <f t="shared" ref="P10:P15" si="8">MEDIAN(I10:M10)</f>
        <v>7780</v>
      </c>
      <c r="Q10" s="20">
        <f t="shared" si="0"/>
        <v>0.27332145611190456</v>
      </c>
      <c r="R10" s="18">
        <f t="shared" si="4"/>
        <v>3.89</v>
      </c>
      <c r="S10" s="18">
        <f t="shared" si="5"/>
        <v>7780</v>
      </c>
    </row>
    <row r="11" spans="1:20" s="7" customFormat="1" ht="58.5" customHeight="1" x14ac:dyDescent="0.2">
      <c r="A11" s="37"/>
      <c r="B11" s="37"/>
      <c r="C11" s="41"/>
      <c r="D11" s="13">
        <v>7</v>
      </c>
      <c r="E11" s="13">
        <v>1349899</v>
      </c>
      <c r="F11" s="13">
        <v>2000</v>
      </c>
      <c r="G11" s="12" t="s">
        <v>26</v>
      </c>
      <c r="H11" s="10" t="s">
        <v>31</v>
      </c>
      <c r="I11" s="24">
        <f>F11*11</f>
        <v>22000</v>
      </c>
      <c r="J11" s="18">
        <f>F11*7.75</f>
        <v>15500</v>
      </c>
      <c r="K11" s="18">
        <f>F11*12.2</f>
        <v>24400</v>
      </c>
      <c r="L11" s="18">
        <f>F11*7.59</f>
        <v>15180</v>
      </c>
      <c r="M11" s="18">
        <f>F11*10.09</f>
        <v>20180</v>
      </c>
      <c r="N11" s="18">
        <f t="shared" si="6"/>
        <v>15180</v>
      </c>
      <c r="O11" s="18">
        <f t="shared" si="7"/>
        <v>19452</v>
      </c>
      <c r="P11" s="19">
        <f t="shared" si="8"/>
        <v>20180</v>
      </c>
      <c r="Q11" s="20">
        <f t="shared" si="0"/>
        <v>0.20782887235768252</v>
      </c>
      <c r="R11" s="18">
        <f>S11/F11</f>
        <v>9.7260000000000009</v>
      </c>
      <c r="S11" s="18">
        <f>O11</f>
        <v>19452</v>
      </c>
    </row>
    <row r="12" spans="1:20" s="7" customFormat="1" ht="117" customHeight="1" x14ac:dyDescent="0.2">
      <c r="A12" s="37"/>
      <c r="B12" s="37"/>
      <c r="C12" s="41"/>
      <c r="D12" s="13">
        <v>8</v>
      </c>
      <c r="E12" s="13">
        <v>1717405</v>
      </c>
      <c r="F12" s="13">
        <v>30000</v>
      </c>
      <c r="G12" s="12" t="s">
        <v>26</v>
      </c>
      <c r="H12" s="10" t="s">
        <v>32</v>
      </c>
      <c r="I12" s="24">
        <f>F12*4.8</f>
        <v>144000</v>
      </c>
      <c r="J12" s="18">
        <f>F12*7.1</f>
        <v>213000</v>
      </c>
      <c r="K12" s="18">
        <f>F12*6.5</f>
        <v>195000</v>
      </c>
      <c r="L12" s="18">
        <f>F12*5.38</f>
        <v>161400</v>
      </c>
      <c r="M12" s="18">
        <f>F12*6.74</f>
        <v>202200</v>
      </c>
      <c r="N12" s="18">
        <f t="shared" si="6"/>
        <v>144000</v>
      </c>
      <c r="O12" s="18">
        <f t="shared" si="7"/>
        <v>183120</v>
      </c>
      <c r="P12" s="19">
        <f t="shared" si="8"/>
        <v>195000</v>
      </c>
      <c r="Q12" s="20">
        <f t="shared" si="0"/>
        <v>0.15921422162807952</v>
      </c>
      <c r="R12" s="18">
        <f>S12/F12</f>
        <v>6.1040000000000001</v>
      </c>
      <c r="S12" s="18">
        <f>O12</f>
        <v>183120</v>
      </c>
    </row>
    <row r="13" spans="1:20" s="7" customFormat="1" ht="89.25" customHeight="1" x14ac:dyDescent="0.2">
      <c r="A13" s="37"/>
      <c r="B13" s="37"/>
      <c r="C13" s="41"/>
      <c r="D13" s="13">
        <v>9</v>
      </c>
      <c r="E13" s="13">
        <v>1350510</v>
      </c>
      <c r="F13" s="13">
        <v>300</v>
      </c>
      <c r="G13" s="12" t="s">
        <v>26</v>
      </c>
      <c r="H13" s="10" t="s">
        <v>33</v>
      </c>
      <c r="I13" s="24">
        <f>F13*18</f>
        <v>5400</v>
      </c>
      <c r="J13" s="18">
        <f>F13*56.9</f>
        <v>17070</v>
      </c>
      <c r="K13" s="18">
        <f>F13*55</f>
        <v>16500</v>
      </c>
      <c r="L13" s="18">
        <f>F13*7.22</f>
        <v>2166</v>
      </c>
      <c r="M13" s="18">
        <f>F13*36.67</f>
        <v>11001</v>
      </c>
      <c r="N13" s="18">
        <f t="shared" si="6"/>
        <v>2166</v>
      </c>
      <c r="O13" s="18">
        <f t="shared" si="7"/>
        <v>10427.4</v>
      </c>
      <c r="P13" s="19">
        <f t="shared" si="8"/>
        <v>11001</v>
      </c>
      <c r="Q13" s="20">
        <f t="shared" si="0"/>
        <v>0.63406404458255272</v>
      </c>
      <c r="R13" s="18">
        <f t="shared" ref="R13:R16" si="9">S13/F13</f>
        <v>36.67</v>
      </c>
      <c r="S13" s="18">
        <f>P13</f>
        <v>11001</v>
      </c>
    </row>
    <row r="14" spans="1:20" s="7" customFormat="1" ht="75.75" customHeight="1" x14ac:dyDescent="0.2">
      <c r="A14" s="37"/>
      <c r="B14" s="37"/>
      <c r="C14" s="41"/>
      <c r="D14" s="13">
        <v>10</v>
      </c>
      <c r="E14" s="13">
        <v>1350501</v>
      </c>
      <c r="F14" s="13">
        <v>300</v>
      </c>
      <c r="G14" s="12" t="s">
        <v>26</v>
      </c>
      <c r="H14" s="10" t="s">
        <v>34</v>
      </c>
      <c r="I14" s="24">
        <f>F14*22</f>
        <v>6600</v>
      </c>
      <c r="J14" s="18">
        <f>F14*66.2</f>
        <v>19860</v>
      </c>
      <c r="K14" s="18">
        <f>F14*60</f>
        <v>18000</v>
      </c>
      <c r="L14" s="18">
        <f>F14*12.95</f>
        <v>3885</v>
      </c>
      <c r="M14" s="18">
        <f>F14*22.4</f>
        <v>6720</v>
      </c>
      <c r="N14" s="18">
        <f t="shared" si="6"/>
        <v>3885</v>
      </c>
      <c r="O14" s="18">
        <f t="shared" si="7"/>
        <v>11013</v>
      </c>
      <c r="P14" s="19">
        <f t="shared" si="8"/>
        <v>6720</v>
      </c>
      <c r="Q14" s="20">
        <f t="shared" si="0"/>
        <v>0.66694568585350045</v>
      </c>
      <c r="R14" s="18">
        <f t="shared" si="9"/>
        <v>22.4</v>
      </c>
      <c r="S14" s="18">
        <f>P14</f>
        <v>6720</v>
      </c>
    </row>
    <row r="15" spans="1:20" s="7" customFormat="1" ht="145.5" customHeight="1" x14ac:dyDescent="0.2">
      <c r="A15" s="37"/>
      <c r="B15" s="37"/>
      <c r="C15" s="41"/>
      <c r="D15" s="13">
        <v>11</v>
      </c>
      <c r="E15" s="13">
        <v>113654</v>
      </c>
      <c r="F15" s="13">
        <v>3000</v>
      </c>
      <c r="G15" s="12" t="s">
        <v>26</v>
      </c>
      <c r="H15" s="10" t="s">
        <v>35</v>
      </c>
      <c r="I15" s="24">
        <f>F15*18</f>
        <v>54000</v>
      </c>
      <c r="J15" s="18">
        <f>F15*17</f>
        <v>51000</v>
      </c>
      <c r="K15" s="18">
        <f>F15*15</f>
        <v>45000</v>
      </c>
      <c r="L15" s="18">
        <f>F15*10.38</f>
        <v>31140.000000000004</v>
      </c>
      <c r="M15" s="18">
        <f>F15*46.18</f>
        <v>138540</v>
      </c>
      <c r="N15" s="18">
        <f t="shared" si="6"/>
        <v>31140.000000000004</v>
      </c>
      <c r="O15" s="18">
        <f t="shared" si="7"/>
        <v>63936</v>
      </c>
      <c r="P15" s="19">
        <f t="shared" si="8"/>
        <v>51000</v>
      </c>
      <c r="Q15" s="20">
        <f t="shared" si="0"/>
        <v>0.66660929316552786</v>
      </c>
      <c r="R15" s="18">
        <f t="shared" ref="R15" si="10">S15/F15</f>
        <v>17</v>
      </c>
      <c r="S15" s="18">
        <f>P15</f>
        <v>51000</v>
      </c>
    </row>
    <row r="16" spans="1:20" s="7" customFormat="1" ht="81.75" customHeight="1" x14ac:dyDescent="0.2">
      <c r="A16" s="37"/>
      <c r="B16" s="37"/>
      <c r="C16" s="41"/>
      <c r="D16" s="13">
        <v>12</v>
      </c>
      <c r="E16" s="13">
        <v>1350340</v>
      </c>
      <c r="F16" s="13">
        <v>300</v>
      </c>
      <c r="G16" s="12" t="s">
        <v>26</v>
      </c>
      <c r="H16" s="10" t="s">
        <v>36</v>
      </c>
      <c r="I16" s="24">
        <f>F16*10</f>
        <v>3000</v>
      </c>
      <c r="J16" s="18">
        <f>F16*8</f>
        <v>2400</v>
      </c>
      <c r="K16" s="18" t="s">
        <v>37</v>
      </c>
      <c r="L16" s="18">
        <f>F16*12.22</f>
        <v>3666</v>
      </c>
      <c r="M16" s="18" t="s">
        <v>38</v>
      </c>
      <c r="N16" s="18">
        <f>MIN(I16:M16)</f>
        <v>2400</v>
      </c>
      <c r="O16" s="18">
        <f>AVERAGE(I16:M16)</f>
        <v>3022</v>
      </c>
      <c r="P16" s="19">
        <f>MEDIAN(I16:M16)</f>
        <v>3000</v>
      </c>
      <c r="Q16" s="20">
        <f t="shared" si="0"/>
        <v>0.20955879051861079</v>
      </c>
      <c r="R16" s="18">
        <f t="shared" si="9"/>
        <v>10.073333333333334</v>
      </c>
      <c r="S16" s="18">
        <f>O16</f>
        <v>3022</v>
      </c>
    </row>
    <row r="17" spans="1:19" s="7" customFormat="1" ht="58.5" customHeight="1" x14ac:dyDescent="0.2">
      <c r="A17" s="37"/>
      <c r="B17" s="37"/>
      <c r="C17" s="41"/>
      <c r="D17" s="17">
        <v>13</v>
      </c>
      <c r="E17" s="13">
        <v>1117610</v>
      </c>
      <c r="F17" s="13">
        <v>1500</v>
      </c>
      <c r="G17" s="12" t="s">
        <v>26</v>
      </c>
      <c r="H17" s="10" t="s">
        <v>39</v>
      </c>
      <c r="I17" s="24" t="s">
        <v>37</v>
      </c>
      <c r="J17" s="18">
        <f>F17*9.9</f>
        <v>14850</v>
      </c>
      <c r="K17" s="18" t="s">
        <v>37</v>
      </c>
      <c r="L17" s="18">
        <f>F17*14</f>
        <v>21000</v>
      </c>
      <c r="M17" s="18" t="s">
        <v>38</v>
      </c>
      <c r="N17" s="18">
        <f t="shared" ref="N17:N18" si="11">MIN(I17:M17)</f>
        <v>14850</v>
      </c>
      <c r="O17" s="18">
        <f t="shared" ref="O17:O18" si="12">AVERAGE(I17:M17)</f>
        <v>17925</v>
      </c>
      <c r="P17" s="19">
        <f t="shared" ref="P17:P18" si="13">MEDIAN(I17:M17)</f>
        <v>17925</v>
      </c>
      <c r="Q17" s="20">
        <f t="shared" si="0"/>
        <v>0.24260567387990337</v>
      </c>
      <c r="R17" s="18">
        <f t="shared" ref="R17:R20" si="14">S17/F17</f>
        <v>11.95</v>
      </c>
      <c r="S17" s="18">
        <f t="shared" ref="S17:S19" si="15">O17</f>
        <v>17925</v>
      </c>
    </row>
    <row r="18" spans="1:19" s="7" customFormat="1" ht="83.25" customHeight="1" x14ac:dyDescent="0.2">
      <c r="A18" s="37"/>
      <c r="B18" s="37"/>
      <c r="C18" s="41"/>
      <c r="D18" s="17">
        <v>14</v>
      </c>
      <c r="E18" s="13">
        <v>1640011</v>
      </c>
      <c r="F18" s="13">
        <v>1000</v>
      </c>
      <c r="G18" s="12" t="s">
        <v>40</v>
      </c>
      <c r="H18" s="10" t="s">
        <v>41</v>
      </c>
      <c r="I18" s="24" t="s">
        <v>37</v>
      </c>
      <c r="J18" s="18">
        <f>F18*12</f>
        <v>12000</v>
      </c>
      <c r="K18" s="18" t="s">
        <v>37</v>
      </c>
      <c r="L18" s="18">
        <f>F18*16.66</f>
        <v>16660</v>
      </c>
      <c r="M18" s="18" t="s">
        <v>38</v>
      </c>
      <c r="N18" s="18">
        <f t="shared" si="11"/>
        <v>12000</v>
      </c>
      <c r="O18" s="18">
        <f t="shared" si="12"/>
        <v>14330</v>
      </c>
      <c r="P18" s="19">
        <f t="shared" si="13"/>
        <v>14330</v>
      </c>
      <c r="Q18" s="20">
        <f t="shared" si="0"/>
        <v>0.22994540127908661</v>
      </c>
      <c r="R18" s="18">
        <f t="shared" si="14"/>
        <v>14.33</v>
      </c>
      <c r="S18" s="18">
        <f t="shared" si="15"/>
        <v>14330</v>
      </c>
    </row>
    <row r="19" spans="1:19" s="7" customFormat="1" ht="83.25" customHeight="1" x14ac:dyDescent="0.2">
      <c r="A19" s="37"/>
      <c r="B19" s="37"/>
      <c r="C19" s="41"/>
      <c r="D19" s="17">
        <v>15</v>
      </c>
      <c r="E19" s="13">
        <v>1350234</v>
      </c>
      <c r="F19" s="13">
        <v>1500</v>
      </c>
      <c r="G19" s="12" t="s">
        <v>40</v>
      </c>
      <c r="H19" s="10" t="s">
        <v>42</v>
      </c>
      <c r="I19" s="24" t="s">
        <v>37</v>
      </c>
      <c r="J19" s="18">
        <f>F19*13.9</f>
        <v>20850</v>
      </c>
      <c r="K19" s="18" t="s">
        <v>37</v>
      </c>
      <c r="L19" s="18">
        <f>F19*10.43</f>
        <v>15645</v>
      </c>
      <c r="M19" s="18" t="s">
        <v>38</v>
      </c>
      <c r="N19" s="18">
        <f t="shared" ref="N19:N23" si="16">MIN(I19:M19)</f>
        <v>15645</v>
      </c>
      <c r="O19" s="18">
        <f t="shared" ref="O19:O23" si="17">AVERAGE(I19:M19)</f>
        <v>18247.5</v>
      </c>
      <c r="P19" s="19">
        <f t="shared" ref="P19:P23" si="18">MEDIAN(I19:M19)</f>
        <v>18247.5</v>
      </c>
      <c r="Q19" s="20">
        <f t="shared" si="0"/>
        <v>0.20169835846422687</v>
      </c>
      <c r="R19" s="18">
        <f t="shared" si="14"/>
        <v>12.164999999999999</v>
      </c>
      <c r="S19" s="18">
        <f t="shared" si="15"/>
        <v>18247.5</v>
      </c>
    </row>
    <row r="20" spans="1:19" s="7" customFormat="1" ht="83.25" customHeight="1" x14ac:dyDescent="0.2">
      <c r="A20" s="37"/>
      <c r="B20" s="37"/>
      <c r="C20" s="41"/>
      <c r="D20" s="17">
        <v>16</v>
      </c>
      <c r="E20" s="13">
        <v>1350250</v>
      </c>
      <c r="F20" s="13">
        <v>1500</v>
      </c>
      <c r="G20" s="12" t="s">
        <v>40</v>
      </c>
      <c r="H20" s="10" t="s">
        <v>43</v>
      </c>
      <c r="I20" s="24" t="s">
        <v>37</v>
      </c>
      <c r="J20" s="18">
        <f>F20*18</f>
        <v>27000</v>
      </c>
      <c r="K20" s="18" t="s">
        <v>37</v>
      </c>
      <c r="L20" s="18">
        <f>F20*11.9</f>
        <v>17850</v>
      </c>
      <c r="M20" s="18" t="s">
        <v>38</v>
      </c>
      <c r="N20" s="18">
        <f t="shared" si="16"/>
        <v>17850</v>
      </c>
      <c r="O20" s="18">
        <f t="shared" si="17"/>
        <v>22425</v>
      </c>
      <c r="P20" s="19">
        <f t="shared" si="18"/>
        <v>22425</v>
      </c>
      <c r="Q20" s="20">
        <f t="shared" si="0"/>
        <v>0.28851848596909296</v>
      </c>
      <c r="R20" s="18">
        <f t="shared" si="14"/>
        <v>14.95</v>
      </c>
      <c r="S20" s="18">
        <f>P20</f>
        <v>22425</v>
      </c>
    </row>
    <row r="21" spans="1:19" s="7" customFormat="1" ht="83.25" customHeight="1" x14ac:dyDescent="0.2">
      <c r="A21" s="37"/>
      <c r="B21" s="37"/>
      <c r="C21" s="41"/>
      <c r="D21" s="17">
        <v>17</v>
      </c>
      <c r="E21" s="13">
        <v>75132</v>
      </c>
      <c r="F21" s="13">
        <v>10000</v>
      </c>
      <c r="G21" s="12" t="s">
        <v>40</v>
      </c>
      <c r="H21" s="10" t="s">
        <v>44</v>
      </c>
      <c r="I21" s="24">
        <f>F21*0.5</f>
        <v>5000</v>
      </c>
      <c r="J21" s="18">
        <f>F21*0.9</f>
        <v>9000</v>
      </c>
      <c r="K21" s="18">
        <f>F21*0.35</f>
        <v>3500</v>
      </c>
      <c r="L21" s="18">
        <f>F21*0.36</f>
        <v>3600</v>
      </c>
      <c r="M21" s="18">
        <f>F21*174.55/400</f>
        <v>4363.75</v>
      </c>
      <c r="N21" s="18">
        <f t="shared" si="16"/>
        <v>3500</v>
      </c>
      <c r="O21" s="18">
        <f t="shared" si="17"/>
        <v>5092.75</v>
      </c>
      <c r="P21" s="19">
        <f t="shared" si="18"/>
        <v>4363.75</v>
      </c>
      <c r="Q21" s="20">
        <f t="shared" si="0"/>
        <v>0.4453011398434486</v>
      </c>
      <c r="R21" s="18">
        <f t="shared" ref="R21:R23" si="19">S21/F21</f>
        <v>0.43637500000000001</v>
      </c>
      <c r="S21" s="18">
        <f t="shared" ref="S21:S23" si="20">P21</f>
        <v>4363.75</v>
      </c>
    </row>
    <row r="22" spans="1:19" s="7" customFormat="1" ht="83.25" customHeight="1" x14ac:dyDescent="0.2">
      <c r="A22" s="37"/>
      <c r="B22" s="37"/>
      <c r="C22" s="41"/>
      <c r="D22" s="17">
        <v>18</v>
      </c>
      <c r="E22" s="13">
        <v>74705</v>
      </c>
      <c r="F22" s="13">
        <v>500</v>
      </c>
      <c r="G22" s="12" t="s">
        <v>45</v>
      </c>
      <c r="H22" s="10" t="s">
        <v>46</v>
      </c>
      <c r="I22" s="24" t="s">
        <v>37</v>
      </c>
      <c r="J22" s="18">
        <f>F22*12</f>
        <v>6000</v>
      </c>
      <c r="K22" s="18">
        <f>F22*7.5</f>
        <v>3750</v>
      </c>
      <c r="L22" s="18">
        <f>F22*64.98</f>
        <v>32490.000000000004</v>
      </c>
      <c r="M22" s="18">
        <f>F22*21.55</f>
        <v>10775</v>
      </c>
      <c r="N22" s="18">
        <f t="shared" si="16"/>
        <v>3750</v>
      </c>
      <c r="O22" s="18">
        <f t="shared" si="17"/>
        <v>13253.75</v>
      </c>
      <c r="P22" s="19">
        <f t="shared" si="18"/>
        <v>8387.5</v>
      </c>
      <c r="Q22" s="20">
        <f t="shared" si="0"/>
        <v>0.9925049170999638</v>
      </c>
      <c r="R22" s="18">
        <f t="shared" si="19"/>
        <v>16.774999999999999</v>
      </c>
      <c r="S22" s="18">
        <f t="shared" si="20"/>
        <v>8387.5</v>
      </c>
    </row>
    <row r="23" spans="1:19" s="7" customFormat="1" ht="83.25" customHeight="1" x14ac:dyDescent="0.2">
      <c r="A23" s="37"/>
      <c r="B23" s="37"/>
      <c r="C23" s="42"/>
      <c r="D23" s="17">
        <v>19</v>
      </c>
      <c r="E23" s="13">
        <v>117560</v>
      </c>
      <c r="F23" s="13">
        <v>20</v>
      </c>
      <c r="G23" s="12" t="s">
        <v>47</v>
      </c>
      <c r="H23" s="10" t="s">
        <v>48</v>
      </c>
      <c r="I23" s="24" t="s">
        <v>37</v>
      </c>
      <c r="J23" s="18">
        <f>F23*79</f>
        <v>1580</v>
      </c>
      <c r="K23" s="18" t="s">
        <v>37</v>
      </c>
      <c r="L23" s="18">
        <f>F23*25</f>
        <v>500</v>
      </c>
      <c r="M23" s="18">
        <f>F23*67.01</f>
        <v>1340.2</v>
      </c>
      <c r="N23" s="18">
        <f t="shared" si="16"/>
        <v>500</v>
      </c>
      <c r="O23" s="18">
        <f t="shared" si="17"/>
        <v>1140.0666666666666</v>
      </c>
      <c r="P23" s="19">
        <f t="shared" si="18"/>
        <v>1340.2</v>
      </c>
      <c r="Q23" s="20">
        <f t="shared" si="0"/>
        <v>0.49745613100659369</v>
      </c>
      <c r="R23" s="18">
        <f t="shared" si="19"/>
        <v>67.010000000000005</v>
      </c>
      <c r="S23" s="18">
        <f t="shared" si="20"/>
        <v>1340.2</v>
      </c>
    </row>
  </sheetData>
  <sheetProtection selectLockedCells="1" selectUnlockedCells="1"/>
  <mergeCells count="7">
    <mergeCell ref="A1:B23"/>
    <mergeCell ref="I3:K3"/>
    <mergeCell ref="C5:C23"/>
    <mergeCell ref="C1:S1"/>
    <mergeCell ref="N3:S3"/>
    <mergeCell ref="C3:H3"/>
    <mergeCell ref="C2:S2"/>
  </mergeCells>
  <printOptions horizontalCentered="1"/>
  <pageMargins left="0.20069444444444445" right="0" top="0.15763888888888888" bottom="0.2361111111111111" header="0.51180555555555551" footer="0.11805555555555555"/>
  <pageSetup paperSize="9" scale="85" firstPageNumber="0" orientation="landscape" horizontalDpi="300" verticalDpi="300" r:id="rId1"/>
  <headerFooter alignWithMargins="0">
    <oddFooter>&amp;L&amp;4DMAP1.XLS&amp;C&amp;4MP/PGJ&amp;R&amp;4SPC/DPLI/AGO/99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OutlineSymbols="0" zoomScaleSheetLayoutView="100" workbookViewId="0"/>
  </sheetViews>
  <sheetFormatPr defaultColWidth="11.28515625" defaultRowHeight="12.75" x14ac:dyDescent="0.2"/>
  <sheetData/>
  <sheetProtection selectLockedCells="1" selectUnlockedCells="1"/>
  <printOptions gridLines="1"/>
  <pageMargins left="0.74791666666666667" right="0.74791666666666667" top="0.98402777777777772" bottom="0.98402777777777772" header="0.49236111111111114" footer="0.49236111111111114"/>
  <pageSetup paperSize="9" firstPageNumber="0" orientation="portrait" horizontalDpi="300" verticalDpi="300"/>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OutlineSymbols="0" zoomScaleSheetLayoutView="100" workbookViewId="0"/>
  </sheetViews>
  <sheetFormatPr defaultColWidth="11.28515625" defaultRowHeight="12.75" x14ac:dyDescent="0.2"/>
  <sheetData/>
  <sheetProtection selectLockedCells="1" selectUnlockedCells="1"/>
  <printOptions gridLines="1"/>
  <pageMargins left="0.74791666666666667" right="0.74791666666666667" top="0.98402777777777772" bottom="0.98402777777777772" header="0.49236111111111114" footer="0.49236111111111114"/>
  <pageSetup paperSize="9" firstPageNumber="0" orientation="portrait" horizontalDpi="300" verticalDpi="300"/>
  <headerFooter alignWithMargins="0">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OutlineSymbols="0" zoomScaleSheetLayoutView="100" workbookViewId="0"/>
  </sheetViews>
  <sheetFormatPr defaultColWidth="11.28515625" defaultRowHeight="12.75" x14ac:dyDescent="0.2"/>
  <sheetData/>
  <sheetProtection selectLockedCells="1" selectUnlockedCells="1"/>
  <printOptions gridLines="1"/>
  <pageMargins left="0.74791666666666667" right="0.74791666666666667" top="0.98402777777777772" bottom="0.98402777777777772" header="0.49236111111111114" footer="0.49236111111111114"/>
  <pageSetup paperSize="9" firstPageNumber="0" orientation="portrait" horizontalDpi="300" verticalDpi="300"/>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OutlineSymbols="0" zoomScaleSheetLayoutView="100" workbookViewId="0"/>
  </sheetViews>
  <sheetFormatPr defaultColWidth="11.28515625" defaultRowHeight="12.75" x14ac:dyDescent="0.2"/>
  <sheetData/>
  <sheetProtection selectLockedCells="1" selectUnlockedCells="1"/>
  <printOptions gridLines="1"/>
  <pageMargins left="0.74791666666666667" right="0.74791666666666667" top="0.98402777777777772" bottom="0.98402777777777772" header="0.49236111111111114" footer="0.49236111111111114"/>
  <pageSetup paperSize="9" firstPageNumber="0" orientation="portrait" horizontalDpi="300" verticalDpi="300"/>
  <headerFooter alignWithMargins="0">
    <oddHeader>&amp;C&amp;A</oddHeader>
    <oddFooter>&amp;CPágina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OutlineSymbols="0" zoomScaleSheetLayoutView="100" workbookViewId="0"/>
  </sheetViews>
  <sheetFormatPr defaultColWidth="11.28515625" defaultRowHeight="12.75" x14ac:dyDescent="0.2"/>
  <sheetData/>
  <sheetProtection selectLockedCells="1" selectUnlockedCells="1"/>
  <printOptions gridLines="1"/>
  <pageMargins left="0.74791666666666667" right="0.74791666666666667" top="0.98402777777777772" bottom="0.98402777777777772" header="0.49236111111111114" footer="0.49236111111111114"/>
  <pageSetup paperSize="9" firstPageNumber="0" orientation="portrait" horizontalDpi="300" verticalDpi="300"/>
  <headerFooter alignWithMargins="0">
    <oddHeader>&amp;C&amp;A</oddHeader>
    <oddFooter>&amp;CPágina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OutlineSymbols="0" zoomScaleSheetLayoutView="100" workbookViewId="0"/>
  </sheetViews>
  <sheetFormatPr defaultColWidth="11.28515625" defaultRowHeight="12.75" x14ac:dyDescent="0.2"/>
  <sheetData/>
  <sheetProtection selectLockedCells="1" selectUnlockedCells="1"/>
  <printOptions gridLines="1"/>
  <pageMargins left="0.74791666666666667" right="0.74791666666666667" top="0.98402777777777772" bottom="0.98402777777777772" header="0.49236111111111114" footer="0.49236111111111114"/>
  <pageSetup paperSize="9" firstPageNumber="0" orientation="portrait" horizontalDpi="300" verticalDpi="300"/>
  <headerFooter alignWithMargins="0">
    <oddHeader>&amp;C&amp;A</oddHeader>
    <oddFooter>&amp;CPágina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OutlineSymbols="0" zoomScaleSheetLayoutView="100" workbookViewId="0"/>
  </sheetViews>
  <sheetFormatPr defaultColWidth="11.28515625" defaultRowHeight="12.75" x14ac:dyDescent="0.2"/>
  <sheetData/>
  <sheetProtection selectLockedCells="1" selectUnlockedCells="1"/>
  <printOptions gridLines="1"/>
  <pageMargins left="0.74791666666666667" right="0.74791666666666667" top="0.98402777777777772" bottom="0.98402777777777772" header="0.49236111111111114" footer="0.49236111111111114"/>
  <pageSetup paperSize="9" firstPageNumber="0" orientation="portrait" horizontalDpi="300" verticalDpi="300"/>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OutlineSymbols="0" zoomScaleSheetLayoutView="100" workbookViewId="0"/>
  </sheetViews>
  <sheetFormatPr defaultColWidth="11.28515625" defaultRowHeight="12.75" x14ac:dyDescent="0.2"/>
  <sheetData/>
  <sheetProtection selectLockedCells="1" selectUnlockedCells="1"/>
  <printOptions gridLines="1"/>
  <pageMargins left="0.74791666666666667" right="0.74791666666666667" top="0.98402777777777772" bottom="0.98402777777777772" header="0.49236111111111114" footer="0.49236111111111114"/>
  <pageSetup paperSize="9" firstPageNumber="0" orientation="portrait" horizontalDpi="300" verticalDpi="300"/>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OutlineSymbols="0" zoomScaleSheetLayoutView="100" workbookViewId="0"/>
  </sheetViews>
  <sheetFormatPr defaultColWidth="11.28515625" defaultRowHeight="12.75" x14ac:dyDescent="0.2"/>
  <sheetData/>
  <sheetProtection selectLockedCells="1" selectUnlockedCells="1"/>
  <printOptions gridLines="1"/>
  <pageMargins left="0.74791666666666667" right="0.74791666666666667" top="0.98402777777777772" bottom="0.98402777777777772" header="0.49236111111111114" footer="0.49236111111111114"/>
  <pageSetup paperSize="9" firstPageNumber="0" orientation="portrait" horizontalDpi="300" verticalDpi="300"/>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OutlineSymbols="0" zoomScaleSheetLayoutView="100" workbookViewId="0"/>
  </sheetViews>
  <sheetFormatPr defaultColWidth="11.28515625" defaultRowHeight="12.75" x14ac:dyDescent="0.2"/>
  <sheetData/>
  <sheetProtection selectLockedCells="1" selectUnlockedCells="1"/>
  <printOptions gridLines="1"/>
  <pageMargins left="0.74791666666666667" right="0.74791666666666667" top="0.98402777777777772" bottom="0.98402777777777772" header="0.49236111111111114" footer="0.49236111111111114"/>
  <pageSetup paperSize="9" firstPageNumber="0" orientation="portrait" horizontalDpi="300" verticalDpi="300"/>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OutlineSymbols="0" zoomScaleSheetLayoutView="100" workbookViewId="0"/>
  </sheetViews>
  <sheetFormatPr defaultColWidth="11.28515625" defaultRowHeight="12.75" x14ac:dyDescent="0.2"/>
  <sheetData/>
  <sheetProtection selectLockedCells="1" selectUnlockedCells="1"/>
  <printOptions gridLines="1"/>
  <pageMargins left="0.74791666666666667" right="0.74791666666666667" top="0.98402777777777772" bottom="0.98402777777777772" header="0.49236111111111114" footer="0.49236111111111114"/>
  <pageSetup paperSize="9" firstPageNumber="0" orientation="portrait" horizontalDpi="300" verticalDpi="300"/>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OutlineSymbols="0" zoomScaleSheetLayoutView="100" workbookViewId="0"/>
  </sheetViews>
  <sheetFormatPr defaultColWidth="11.28515625" defaultRowHeight="12.75" x14ac:dyDescent="0.2"/>
  <sheetData/>
  <sheetProtection selectLockedCells="1" selectUnlockedCells="1"/>
  <printOptions gridLines="1"/>
  <pageMargins left="0.74791666666666667" right="0.74791666666666667" top="0.98402777777777772" bottom="0.98402777777777772" header="0.49236111111111114" footer="0.49236111111111114"/>
  <pageSetup paperSize="9" firstPageNumber="0" orientation="portrait" horizontalDpi="300" verticalDpi="300"/>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OutlineSymbols="0" zoomScaleSheetLayoutView="100" workbookViewId="0"/>
  </sheetViews>
  <sheetFormatPr defaultColWidth="11.28515625" defaultRowHeight="12.75" x14ac:dyDescent="0.2"/>
  <sheetData/>
  <sheetProtection selectLockedCells="1" selectUnlockedCells="1"/>
  <printOptions gridLines="1"/>
  <pageMargins left="0.74791666666666667" right="0.74791666666666667" top="0.98402777777777772" bottom="0.98402777777777772" header="0.49236111111111114" footer="0.49236111111111114"/>
  <pageSetup paperSize="9" firstPageNumber="0" orientation="portrait" horizontalDpi="300" verticalDpi="300"/>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OutlineSymbols="0" zoomScaleSheetLayoutView="100" workbookViewId="0"/>
  </sheetViews>
  <sheetFormatPr defaultColWidth="11.28515625" defaultRowHeight="12.75" x14ac:dyDescent="0.2"/>
  <sheetData/>
  <sheetProtection selectLockedCells="1" selectUnlockedCells="1"/>
  <printOptions gridLines="1"/>
  <pageMargins left="0.74791666666666667" right="0.74791666666666667" top="0.98402777777777772" bottom="0.98402777777777772" header="0.49236111111111114" footer="0.49236111111111114"/>
  <pageSetup paperSize="9" firstPageNumber="0" orientation="portrait" horizontalDpi="300" verticalDpi="300"/>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OutlineSymbols="0" zoomScaleSheetLayoutView="100" workbookViewId="0"/>
  </sheetViews>
  <sheetFormatPr defaultColWidth="11.28515625" defaultRowHeight="12.75" x14ac:dyDescent="0.2"/>
  <sheetData/>
  <sheetProtection selectLockedCells="1" selectUnlockedCells="1"/>
  <printOptions gridLines="1"/>
  <pageMargins left="0.74791666666666667" right="0.74791666666666667" top="0.98402777777777772" bottom="0.98402777777777772" header="0.49236111111111114" footer="0.49236111111111114"/>
  <pageSetup paperSize="9" firstPageNumber="0" orientation="portrait" horizontalDpi="300" verticalDpi="300"/>
  <headerFooter alignWithMargins="0">
    <oddHeader>&amp;C&amp;A</oddHeader>
    <oddFooter>&amp;CPágina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eb315a1-fd1d-4c46-bc29-5324cfd3155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766810F3571A045AFE15E5668B16395" ma:contentTypeVersion="12" ma:contentTypeDescription="Crie um novo documento." ma:contentTypeScope="" ma:versionID="92a54f8bdf2613f29ed5dfe1735421eb">
  <xsd:schema xmlns:xsd="http://www.w3.org/2001/XMLSchema" xmlns:xs="http://www.w3.org/2001/XMLSchema" xmlns:p="http://schemas.microsoft.com/office/2006/metadata/properties" xmlns:ns2="1eb315a1-fd1d-4c46-bc29-5324cfd31550" xmlns:ns3="040f40de-0951-4de2-aa99-b1ea904a966c" targetNamespace="http://schemas.microsoft.com/office/2006/metadata/properties" ma:root="true" ma:fieldsID="4867d88ea3bfcdac79e0acfb0c6c4797" ns2:_="" ns3:_="">
    <xsd:import namespace="1eb315a1-fd1d-4c46-bc29-5324cfd31550"/>
    <xsd:import namespace="040f40de-0951-4de2-aa99-b1ea904a966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b315a1-fd1d-4c46-bc29-5324cfd31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Status de liberação" ma:internalName="Status_x0020_de_x0020_libera_x00e7__x00e3_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f40de-0951-4de2-aa99-b1ea904a966c"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A11C04-CB70-4466-915C-D3FAF4D21B4D}">
  <ds:schemaRefs>
    <ds:schemaRef ds:uri="http://www.w3.org/XML/1998/namespace"/>
    <ds:schemaRef ds:uri="http://purl.org/dc/terms/"/>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040f40de-0951-4de2-aa99-b1ea904a966c"/>
    <ds:schemaRef ds:uri="1eb315a1-fd1d-4c46-bc29-5324cfd31550"/>
    <ds:schemaRef ds:uri="http://schemas.microsoft.com/office/2006/metadata/properties"/>
  </ds:schemaRefs>
</ds:datastoreItem>
</file>

<file path=customXml/itemProps2.xml><?xml version="1.0" encoding="utf-8"?>
<ds:datastoreItem xmlns:ds="http://schemas.openxmlformats.org/officeDocument/2006/customXml" ds:itemID="{235120D1-2D81-486D-B4FA-1FD1E04AE4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b315a1-fd1d-4c46-bc29-5324cfd31550"/>
    <ds:schemaRef ds:uri="040f40de-0951-4de2-aa99-b1ea904a96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01894F-4598-43A2-BA15-BDB9C0F790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2</vt:i4>
      </vt:variant>
    </vt:vector>
  </HeadingPairs>
  <TitlesOfParts>
    <vt:vector size="18" baseType="lpstr">
      <vt:lpstr>Plan1</vt:lpstr>
      <vt:lpstr>Plan2</vt:lpstr>
      <vt:lpstr>Plan3</vt:lpstr>
      <vt:lpstr>Plan4</vt:lpstr>
      <vt:lpstr>Plan5</vt:lpstr>
      <vt:lpstr>Plan6</vt:lpstr>
      <vt:lpstr>Plan7</vt:lpstr>
      <vt:lpstr>Plan8</vt:lpstr>
      <vt:lpstr>Plan9</vt:lpstr>
      <vt:lpstr>Plan10</vt:lpstr>
      <vt:lpstr>Plan11</vt:lpstr>
      <vt:lpstr>Plan12</vt:lpstr>
      <vt:lpstr>Plan13</vt:lpstr>
      <vt:lpstr>Plan14</vt:lpstr>
      <vt:lpstr>Plan15</vt:lpstr>
      <vt:lpstr>Plan16</vt:lpstr>
      <vt:lpstr>__DdeLink__3920_1626016959</vt:lpstr>
      <vt:lpstr>__DdeLink__4725_1635210797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Maria Lessa da Costa</dc:creator>
  <cp:keywords/>
  <dc:description/>
  <cp:lastModifiedBy>Simone de Oliveira Capanema</cp:lastModifiedBy>
  <cp:revision/>
  <dcterms:created xsi:type="dcterms:W3CDTF">2018-03-23T12:39:52Z</dcterms:created>
  <dcterms:modified xsi:type="dcterms:W3CDTF">2022-06-24T11:39:56Z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0x0101005766810F3571A045AFE15E5668B16395</vt:lpwstr>
  </property>
</Properties>
</file>