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workbookProtection lockStructure="1"/>
  <bookViews>
    <workbookView xWindow="65416" yWindow="65416" windowWidth="15600" windowHeight="11760" tabRatio="500" activeTab="0"/>
  </bookViews>
  <sheets>
    <sheet name="Plan1" sheetId="1" r:id="rId1"/>
    <sheet name="Plan2" sheetId="2" r:id="rId2"/>
    <sheet name="Plan3" sheetId="3" r:id="rId3"/>
    <sheet name="Plan4" sheetId="4" r:id="rId4"/>
    <sheet name="Plan5" sheetId="5" r:id="rId5"/>
    <sheet name="Plan6" sheetId="6" r:id="rId6"/>
    <sheet name="Plan7" sheetId="7" r:id="rId7"/>
    <sheet name="Plan8" sheetId="8" r:id="rId8"/>
    <sheet name="Plan9" sheetId="9" r:id="rId9"/>
    <sheet name="Plan10" sheetId="10" r:id="rId10"/>
    <sheet name="Plan11" sheetId="11" r:id="rId11"/>
    <sheet name="Plan12" sheetId="12" r:id="rId12"/>
    <sheet name="Plan13" sheetId="13" r:id="rId13"/>
    <sheet name="Plan14" sheetId="14" r:id="rId14"/>
    <sheet name="Plan15" sheetId="15" r:id="rId15"/>
    <sheet name="Plan16" sheetId="16" r:id="rId16"/>
  </sheets>
  <definedNames>
    <definedName name="__DdeLink__3920_1626016959">'Plan1'!$H$12</definedName>
    <definedName name="__DdeLink__4725_1635210797">'Plan1'!$E$23</definedName>
    <definedName name="TABLE_1">'Plan1'!#REF!</definedName>
    <definedName name="TABLE_10_1">NA()</definedName>
    <definedName name="TABLE_11_1">NA()</definedName>
    <definedName name="TABLE_12_1">NA()</definedName>
    <definedName name="TABLE_2_1">NA()</definedName>
    <definedName name="TABLE_3_1">NA()</definedName>
    <definedName name="TABLE_4_1">NA()</definedName>
    <definedName name="TABLE_5_1">NA()</definedName>
    <definedName name="TABLE_6_1">NA()</definedName>
    <definedName name="TABLE_7_1">NA()</definedName>
    <definedName name="TABLE_8_1">NA()</definedName>
    <definedName name="TABLE_9_1">NA()</definedName>
  </definedNames>
  <calcPr calcId="162913"/>
  <extLst/>
</workbook>
</file>

<file path=xl/sharedStrings.xml><?xml version="1.0" encoding="utf-8"?>
<sst xmlns="http://schemas.openxmlformats.org/spreadsheetml/2006/main" count="78" uniqueCount="50">
  <si>
    <t>OBJETO</t>
  </si>
  <si>
    <t>FORNECEDORES</t>
  </si>
  <si>
    <t>PREÇOS PÚBLICOS</t>
  </si>
  <si>
    <t>INTERNET</t>
  </si>
  <si>
    <t>PREÇOS DE REFERÊNCIA</t>
  </si>
  <si>
    <t xml:space="preserve">LOTE </t>
  </si>
  <si>
    <t>Item</t>
  </si>
  <si>
    <t>SIAD</t>
  </si>
  <si>
    <t>Quantl</t>
  </si>
  <si>
    <t>UNID.</t>
  </si>
  <si>
    <t>Descrição</t>
  </si>
  <si>
    <t>MAQNETE</t>
  </si>
  <si>
    <t>MÁXIMO DISTRIBUIDORA</t>
  </si>
  <si>
    <t>PAPYRUS</t>
  </si>
  <si>
    <t>BANCO DE PREÇOS</t>
  </si>
  <si>
    <t>VÁRIOS SITES</t>
  </si>
  <si>
    <t>MENOR PREÇO TOTAL</t>
  </si>
  <si>
    <t>PREÇO TOTAL MÉDIO</t>
  </si>
  <si>
    <t>PREÇO TOTAL MEDIANA</t>
  </si>
  <si>
    <t>COEFICIENTE DE VARIAÇÃO</t>
  </si>
  <si>
    <t>PREÇO UNITÁRIO SIAD</t>
  </si>
  <si>
    <t>PREÇO TOTAL SIAD</t>
  </si>
  <si>
    <t>Rolo com 184m</t>
  </si>
  <si>
    <t>BARBANTE – MATÉRIA PRIMA: ALGODÃO CRU; FIO: 08 FIOS, COMPOSTO DE DIVERSAS LINHAS ENTRELAÇADAS.</t>
  </si>
  <si>
    <t>Rolo c/ 100m</t>
  </si>
  <si>
    <t>PLÁSTICO PARA EMBALAGEM - TIPO: BOLHA; MEDIDAS: 1,30 METROS DE LARGURA; DIÂMETRO: DA BOLHA 8MM.</t>
  </si>
  <si>
    <t>Unidade</t>
  </si>
  <si>
    <t>FITA ADESIVA ESCRITÓRIO - TIPO: UMA FACE; MATÉRIA-PRIMA: POLIPROPILENO; MEDIDAS: 12MM X 50M; COR: TRANSPARENTE.</t>
  </si>
  <si>
    <t>FITA ADESIVA PARA EMBALAGEM - MATÉRIA-PRIMA: POLIPROPILENO; DIMENSÕES: 48MM X 50 METROS; TIPO: ADERÊNCIA EM UMA FACE, COR MARROM; NA EMBALAGEM DEVERÁ CONSTAR A DATA DA FABRICAÇÃO, DA VALIDADE E NÚMERO DO LOTE.</t>
  </si>
  <si>
    <t>FITA ADESIVA PARA EMBALAGEM MATÉRIA-PRIMA: ADESIVO DE RESINA DE BORRACHA SINTÉTICA; DIMENSÕES: 45MM X 45M ESPESSURA TOTAL DE 0,040MM; TIPO: ADERÊNCIA DE UMA FACE, TRANSPARENTE; COM FILME   DE   POLIPROPILENO   BIOORIENTADO. NA EMBALAGEM DEVERÁ CONSTAR A DATA DA FABRICAÇÃO, PRAZO DE VALIDADE E NÚMERO DE LOTE.</t>
  </si>
  <si>
    <t>FITA CREPE - MEDIDAS: 18MM X 50M; TUBETE INDICANDO MARCA DO FABRICANTE E VALIDADE DO PRODUTO. EMBALAGEM COM DADOS DE IDENTIFICAÇÃO DO PRODUTO.</t>
  </si>
  <si>
    <t>FITA CREPE - MEDIDAS: 48MM X 50M; FITA ADESIVA CREPE; BRANCA 01 LADO; ALTA CAPACIDADE DE ADERÊNCIA EM PAPELÃO E PAPEL KRAFT.</t>
  </si>
  <si>
    <r>
      <t xml:space="preserve">CAIXA ARQUIVO MORTO - MATÉRIA-PRIMA: PAPELÃO RECICLADO; GRAMATURA: MÍNIMA 400 G/M2; DIMENSÕES (C X L X A): MENINAS 360 MM X 135 MM X 250 MM; COR: PARDA; CARACTERÍSTICAS GERAIS: DESMONTÁVEL, COM IMPRESSÃO E VISOR; COMPLEMENTAÇÃO DA ESPECIFICAÇÃO DO ITEM DE MATERIAL: CAIXA PARA ARQUIVO MORTO COM IMPRESSÃO EM TRÊS LADOS; FECHAMENTO DUPLO REFORÇADO </t>
    </r>
    <r>
      <rPr>
        <b/>
        <sz val="9"/>
        <rFont val="Arial"/>
        <family val="2"/>
      </rPr>
      <t>(COMPLEMENTAÇÃO DA DESCRIÇÃO CONFORME APENSO I).</t>
    </r>
  </si>
  <si>
    <t>PASTA PARA ARQUIVO - IDENTIFICAÇÃO: TUBO; MATÉRIA-PRIMA: POLIETILENO; TIPO PRENDEDOR: GARRA INTERNA EM METAL; TAMANHO: 240MM X 340MM X 50MM; VISOR: COM VISOR; COR: AZUL; PASTA TIPO TUBO PARA 02 FUROS, EM POLIETILENO, COR: AZUL, MEDIDA: 240MM X 340MM X 50MM, GARRA INTERNA EM METAL COM PINTURA EPOXI PRETO.</t>
  </si>
  <si>
    <t>PASTA PARA ARQUIVO - IDENTIFICAÇÃO: TUBO; MATÉRIA-PRIMA: POLIETILENO; TIPO PRENDEDOR: GARRA INTERNA DE METAL; TAMANHO: 240MM X 340MM X 70MM; VISOR: COM VISOR; COR: AZUL; PASTA TIPO TUBO COM 02 FUROS, EM POLIETILENO, COR: AZUL, MEDIDA: 240MM X 340MM X 70MM, GARRA INTERNA EM METAL COM PINTURA EPOXI PRETO.</t>
  </si>
  <si>
    <t>PASTA AZ - MATÉRIA-PRIMA: PAPELÃO PRENSADO; LARGURA LOMBO: LARGO DE 80MM; DIMENSÕES: 280 X 350MM; TIPO PRENDEDOR: ALAVANCA; NÚMERO DE GUIAS: 02 ARGOLAS; FORMATO DAS GUIAS: EM D; VISOR: COM VISOR; COMPLEMENTAÇÃO DA ESPECIFICAÇÃO DO ITEM DE MATERIAL: AS FERRAGENS DEVEM SER ANTI-OXIDANTES, DE ALTA PRECISÃO PARA O FECHAMENTO PERFEITO DOS ARCOS. DEVE CONTER BARRA DE CONTENÇÃO DE PAPEIS EM PLÁSTICO RESISTENTE. DEVE SER FORRADA COM PAPEL FANTASIA OU LISO, COM REFORÇO NA PARTE INFERIOR PARA EVITAR DESGASTE POR FRICÇÃO. ESPESSURA DA CAPA DE 2MM APROXIMADAMENTE, DISTÂNCIA ENTRE AS GUIAS DE 80MM APROXIMADAMENTE E DIÂMETRO DO ARCO EM 45MM APROXIMADAMENTE.</t>
  </si>
  <si>
    <t>CAIXA DE PAPELÃO - DIMENSÕES: 56 X 45 X 27 CM; MATÉRIA-PRIMA: PAPELÃO PARDO; GRAMATURA: 440 G/M2; ACABAMENTO: COM 04 ABAS, SEM IMPRESSÃO, MODELO NORMAL; COMPLEMENTAÇÃO DA ESPECIFICAÇÃO DO ITEM DE MATERIAL: CAIXA PARA EMBALAGEM, FABRICADA EM PAPELÃO PARDO DE 440G/M²,TAMANHO DE 56CM/COMPRIMENTO X 45CM/LARGURA X 27CM/ALTURA.</t>
  </si>
  <si>
    <t>N/C</t>
  </si>
  <si>
    <t>N/E</t>
  </si>
  <si>
    <t>CAIXA DE PAPELÃO - DIMENSÕES: 48CM LARGURA X 58CM DE COMPRIMENTO X 35CM ALTURA; MATÉRIA-PRIMA: KRAFT MICRO ONDULADO; GRAMATURA: 460 G/M2; ACABAMENTO: COM 2 ABAS E FECHAMENTO LATERAL EM GRAMPO.</t>
  </si>
  <si>
    <t>UNIDADE</t>
  </si>
  <si>
    <r>
      <t xml:space="preserve">CAIXA DE PAPELAO - DIMENSOES: 89 X 69 X 14 CM (C X L X A); MATERIA-PRIMA: PAPELAO PARDO; GRAMATURA: 440 G/M²; ACABAMENTO: COM 4 ABAS, SEM IMPRESSAO, MODELO NORMAL; </t>
    </r>
    <r>
      <rPr>
        <b/>
        <sz val="9"/>
        <color rgb="FF000000"/>
        <rFont val="Arial"/>
        <family val="2"/>
      </rPr>
      <t>COMPLEMENTAÇÃO DA DESCRIÇÃO CONFORME APENSO I)</t>
    </r>
  </si>
  <si>
    <r>
      <t>CAIXA DE PAPELAO - DIMENSOES: 18 X 37 X 54 CM; MATERIA-PRIMA: PAPELAO PARDO; GRAMATURA: 440 G/M2; ACABAMENTO: COM 04 ABAS, SEM IMPRESSAO, MODELO NORMAL;</t>
    </r>
    <r>
      <rPr>
        <b/>
        <sz val="9"/>
        <color rgb="FF000000"/>
        <rFont val="Arial"/>
        <family val="2"/>
      </rPr>
      <t>COMPLEMENTAÇÃO DA DESCRIÇÃO CONFORME APENSO I)</t>
    </r>
  </si>
  <si>
    <r>
      <t>CAIXA DE PAPELAO - DIMENSOES: 50 X 50 X 50 CM; MATERIA-PRIMA: PAPELAO PARDO; GRAMATURA: 440 G/M2; ACABAMENTO: COM 04 ABAS, SEM IMPRESSAO, MODELO NORMAL;</t>
    </r>
    <r>
      <rPr>
        <b/>
        <sz val="9"/>
        <color rgb="FF000000"/>
        <rFont val="Arial"/>
        <family val="2"/>
      </rPr>
      <t>COMPLEMENTAÇÃO DA DESCRIÇÃO CONFORME APENSO I)</t>
    </r>
  </si>
  <si>
    <t>PLASTICO PARA PASTA CATALOGO - ESPESSURA: 0,15MM, EM POLIETILENO BAIXA DENSIDADE; TIPO: 04 FUROS; MEDIDAS: 240 X 330MM;</t>
  </si>
  <si>
    <t>Caixa  c/ 10 projeções</t>
  </si>
  <si>
    <t>DIVISORIA PARA ARQUIVO - MATERIA-PRIMA: PLASTICO; MEDIDAS: 210 X 297MM; TIPO PROJECAO: ALFA;</t>
  </si>
  <si>
    <t>Quilograma</t>
  </si>
  <si>
    <t>SACO PLASTICO, EM BOBINA, PARA EMBALAGEM - TIPO PLASTICO: TRANSPARENTE, PICOTADO; CAPACIDADE OU DIMENSOES: 20 X 30CM, ESPESSURA 0,10MM;</t>
  </si>
  <si>
    <t xml:space="preserve">Processo: SEI 19.16.3900.0051054/2021-88                                                                                                                                                                                                                                                                                                                                                                                                                                                                                                                                                                                                                                                                      Mapa de Preços -  MATERIAIS DECONSUMO -  LOTE 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</si>
</sst>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 (&quot;#,##0.00\);&quot; -&quot;#\ ;@\ "/>
  </numFmts>
  <fonts count="11">
    <font>
      <sz val="10"/>
      <name val="Arial"/>
      <family val="2"/>
    </font>
    <font>
      <sz val="8"/>
      <name val="Arial"/>
      <family val="2"/>
    </font>
    <font>
      <b/>
      <sz val="8"/>
      <name val="Arial"/>
      <family val="2"/>
    </font>
    <font>
      <sz val="10"/>
      <name val="Times New Roman"/>
      <family val="1"/>
    </font>
    <font>
      <b/>
      <sz val="11"/>
      <name val="Arial"/>
      <family val="2"/>
    </font>
    <font>
      <b/>
      <sz val="12"/>
      <name val="Arial"/>
      <family val="2"/>
    </font>
    <font>
      <b/>
      <sz val="12"/>
      <name val="Times New Roman"/>
      <family val="1"/>
    </font>
    <font>
      <b/>
      <sz val="10"/>
      <name val="Arial"/>
      <family val="2"/>
    </font>
    <font>
      <sz val="14"/>
      <name val="Times New Roman"/>
      <family val="1"/>
    </font>
    <font>
      <b/>
      <sz val="9"/>
      <name val="Arial"/>
      <family val="2"/>
    </font>
    <font>
      <b/>
      <sz val="9"/>
      <color rgb="FF000000"/>
      <name val="Arial"/>
      <family val="2"/>
    </font>
  </fonts>
  <fills count="3">
    <fill>
      <patternFill/>
    </fill>
    <fill>
      <patternFill patternType="gray125"/>
    </fill>
    <fill>
      <patternFill patternType="solid">
        <fgColor theme="7" tint="0.5999900102615356"/>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right/>
      <top/>
      <bottom/>
    </border>
    <border>
      <left/>
      <right style="thin"/>
      <top/>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style="thin">
        <color rgb="FF000000"/>
      </left>
      <right style="thin">
        <color rgb="FF000000"/>
      </right>
      <top/>
      <bottom style="thin">
        <color rgb="FF00000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ill="0" applyBorder="0" applyAlignment="0" applyProtection="0"/>
    <xf numFmtId="164" fontId="0" fillId="0" borderId="0" applyFill="0" applyBorder="0" applyAlignment="0" applyProtection="0"/>
  </cellStyleXfs>
  <cellXfs count="43">
    <xf numFmtId="0" fontId="0" fillId="0" borderId="0" xfId="0"/>
    <xf numFmtId="0" fontId="0" fillId="0" borderId="0" xfId="0" applyFont="1" applyAlignment="1">
      <alignment horizontal="center"/>
    </xf>
    <xf numFmtId="0" fontId="0" fillId="0" borderId="0" xfId="0" applyFont="1"/>
    <xf numFmtId="0" fontId="0" fillId="0" borderId="0" xfId="0" applyFont="1" applyFill="1"/>
    <xf numFmtId="0" fontId="1" fillId="0" borderId="0" xfId="0" applyFont="1"/>
    <xf numFmtId="0" fontId="1" fillId="0" borderId="0" xfId="0" applyFont="1" applyAlignment="1">
      <alignment horizontal="left"/>
    </xf>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horizontal="left"/>
    </xf>
    <xf numFmtId="0" fontId="1" fillId="0" borderId="0" xfId="0" applyFont="1" applyFill="1"/>
    <xf numFmtId="0" fontId="1" fillId="0" borderId="1" xfId="0" applyFont="1" applyBorder="1" applyAlignment="1">
      <alignment horizontal="left" vertical="center" wrapText="1"/>
    </xf>
    <xf numFmtId="0" fontId="1" fillId="0" borderId="0" xfId="0" applyFont="1" applyAlignment="1">
      <alignment/>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4" fontId="3" fillId="0" borderId="1" xfId="0" applyNumberFormat="1" applyFont="1" applyFill="1" applyBorder="1" applyAlignment="1" applyProtection="1">
      <alignment horizontal="center" vertical="center" wrapText="1"/>
      <protection locked="0"/>
    </xf>
    <xf numFmtId="164" fontId="3" fillId="0" borderId="1" xfId="21" applyFont="1" applyFill="1" applyBorder="1" applyAlignment="1" applyProtection="1">
      <alignment horizontal="center" vertical="center"/>
      <protection locked="0"/>
    </xf>
    <xf numFmtId="9" fontId="0" fillId="0" borderId="1" xfId="20"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left" vertical="center" wrapText="1"/>
    </xf>
    <xf numFmtId="9" fontId="0" fillId="0" borderId="1" xfId="20" applyFill="1" applyBorder="1" applyAlignment="1">
      <alignment horizontal="center" vertical="center" wrapText="1"/>
    </xf>
    <xf numFmtId="0" fontId="0" fillId="2" borderId="1" xfId="0" applyFont="1" applyFill="1" applyBorder="1" applyAlignment="1">
      <alignment horizontal="center" vertical="center" wrapText="1"/>
    </xf>
    <xf numFmtId="0" fontId="1" fillId="0" borderId="5" xfId="0" applyFont="1" applyBorder="1" applyAlignment="1">
      <alignment horizont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 fillId="0" borderId="0" xfId="0" applyFont="1" applyAlignment="1">
      <alignment horizont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Porcentagem" xfId="20"/>
    <cellStyle name="Vírgul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104775</xdr:rowOff>
    </xdr:from>
    <xdr:to>
      <xdr:col>4</xdr:col>
      <xdr:colOff>504825</xdr:colOff>
      <xdr:row>0</xdr:row>
      <xdr:rowOff>704850</xdr:rowOff>
    </xdr:to>
    <xdr:pic>
      <xdr:nvPicPr>
        <xdr:cNvPr id="2" name="Imagem 1"/>
        <xdr:cNvPicPr preferRelativeResize="1">
          <a:picLocks noChangeAspect="1"/>
        </xdr:cNvPicPr>
      </xdr:nvPicPr>
      <xdr:blipFill>
        <a:blip r:embed="rId1"/>
        <a:stretch>
          <a:fillRect/>
        </a:stretch>
      </xdr:blipFill>
      <xdr:spPr>
        <a:xfrm>
          <a:off x="1600200" y="104775"/>
          <a:ext cx="1733550" cy="6000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showOutlineSymbols="0" zoomScale="80" zoomScaleNormal="80" workbookViewId="0" topLeftCell="A19">
      <selection activeCell="C24" sqref="C24:M24"/>
    </sheetView>
  </sheetViews>
  <sheetFormatPr defaultColWidth="11.28125" defaultRowHeight="12.75"/>
  <cols>
    <col min="1" max="3" width="11.28125" style="4" customWidth="1"/>
    <col min="4" max="4" width="8.57421875" style="1" customWidth="1"/>
    <col min="5" max="5" width="8.8515625" style="1" customWidth="1"/>
    <col min="6" max="6" width="8.421875" style="1" customWidth="1"/>
    <col min="7" max="7" width="9.28125" style="2" customWidth="1"/>
    <col min="8" max="8" width="45.28125" style="2" customWidth="1"/>
    <col min="9" max="9" width="15.28125" style="3" hidden="1" customWidth="1"/>
    <col min="10" max="10" width="16.00390625" style="3" hidden="1" customWidth="1"/>
    <col min="11" max="12" width="12.28125" style="3" hidden="1" customWidth="1"/>
    <col min="13" max="13" width="18.00390625" style="3" hidden="1" customWidth="1"/>
    <col min="14" max="14" width="16.7109375" style="2" hidden="1" customWidth="1"/>
    <col min="15" max="15" width="15.140625" style="3" hidden="1" customWidth="1"/>
    <col min="16" max="16" width="13.28125" style="3" hidden="1" customWidth="1"/>
    <col min="17" max="17" width="13.8515625" style="4" hidden="1" customWidth="1"/>
    <col min="18" max="18" width="13.8515625" style="9" customWidth="1"/>
    <col min="19" max="19" width="13.28125" style="9" customWidth="1"/>
    <col min="20" max="16384" width="11.28125" style="4" customWidth="1"/>
  </cols>
  <sheetData>
    <row r="1" spans="1:20" ht="74.65" customHeight="1">
      <c r="A1" s="37"/>
      <c r="B1" s="37"/>
      <c r="C1" s="30"/>
      <c r="D1" s="30"/>
      <c r="E1" s="30"/>
      <c r="F1" s="30"/>
      <c r="G1" s="30"/>
      <c r="H1" s="30"/>
      <c r="I1" s="30"/>
      <c r="J1" s="30"/>
      <c r="K1" s="30"/>
      <c r="L1" s="30"/>
      <c r="M1" s="30"/>
      <c r="N1" s="30"/>
      <c r="O1" s="30"/>
      <c r="P1" s="30"/>
      <c r="Q1" s="30"/>
      <c r="R1" s="30"/>
      <c r="S1" s="30"/>
      <c r="T1" s="11"/>
    </row>
    <row r="2" spans="1:19" s="8" customFormat="1" ht="105" customHeight="1">
      <c r="A2" s="37"/>
      <c r="B2" s="37"/>
      <c r="C2" s="35" t="s">
        <v>49</v>
      </c>
      <c r="D2" s="35"/>
      <c r="E2" s="35"/>
      <c r="F2" s="35"/>
      <c r="G2" s="35"/>
      <c r="H2" s="35"/>
      <c r="I2" s="35"/>
      <c r="J2" s="35"/>
      <c r="K2" s="35"/>
      <c r="L2" s="36"/>
      <c r="M2" s="35"/>
      <c r="N2" s="35"/>
      <c r="O2" s="35"/>
      <c r="P2" s="35"/>
      <c r="Q2" s="35"/>
      <c r="R2" s="35"/>
      <c r="S2" s="35"/>
    </row>
    <row r="3" spans="1:19" s="5" customFormat="1" ht="47.45" customHeight="1">
      <c r="A3" s="37"/>
      <c r="B3" s="37"/>
      <c r="C3" s="34" t="s">
        <v>0</v>
      </c>
      <c r="D3" s="34"/>
      <c r="E3" s="34"/>
      <c r="F3" s="34"/>
      <c r="G3" s="34"/>
      <c r="H3" s="34"/>
      <c r="I3" s="38" t="s">
        <v>1</v>
      </c>
      <c r="J3" s="39"/>
      <c r="K3" s="39"/>
      <c r="L3" s="21" t="s">
        <v>2</v>
      </c>
      <c r="M3" s="22" t="s">
        <v>3</v>
      </c>
      <c r="N3" s="31" t="s">
        <v>4</v>
      </c>
      <c r="O3" s="32"/>
      <c r="P3" s="32"/>
      <c r="Q3" s="32"/>
      <c r="R3" s="32"/>
      <c r="S3" s="33"/>
    </row>
    <row r="4" spans="1:19" s="6" customFormat="1" ht="55.9" customHeight="1">
      <c r="A4" s="37"/>
      <c r="B4" s="37"/>
      <c r="C4" s="29" t="s">
        <v>5</v>
      </c>
      <c r="D4" s="14" t="s">
        <v>6</v>
      </c>
      <c r="E4" s="25" t="s">
        <v>7</v>
      </c>
      <c r="F4" s="25" t="s">
        <v>8</v>
      </c>
      <c r="G4" s="25" t="s">
        <v>9</v>
      </c>
      <c r="H4" s="25" t="s">
        <v>10</v>
      </c>
      <c r="I4" s="15" t="s">
        <v>11</v>
      </c>
      <c r="J4" s="15" t="s">
        <v>12</v>
      </c>
      <c r="K4" s="15" t="s">
        <v>13</v>
      </c>
      <c r="L4" s="15" t="s">
        <v>14</v>
      </c>
      <c r="M4" s="15" t="s">
        <v>15</v>
      </c>
      <c r="N4" s="16" t="s">
        <v>16</v>
      </c>
      <c r="O4" s="13" t="s">
        <v>17</v>
      </c>
      <c r="P4" s="13" t="s">
        <v>18</v>
      </c>
      <c r="Q4" s="13" t="s">
        <v>19</v>
      </c>
      <c r="R4" s="13" t="s">
        <v>20</v>
      </c>
      <c r="S4" s="13" t="s">
        <v>21</v>
      </c>
    </row>
    <row r="5" spans="1:19" s="7" customFormat="1" ht="93" customHeight="1">
      <c r="A5" s="37"/>
      <c r="B5" s="37"/>
      <c r="C5" s="40">
        <v>6</v>
      </c>
      <c r="D5" s="23">
        <v>1</v>
      </c>
      <c r="E5" s="13">
        <v>214310</v>
      </c>
      <c r="F5" s="13">
        <v>1500</v>
      </c>
      <c r="G5" s="12" t="s">
        <v>22</v>
      </c>
      <c r="H5" s="10" t="s">
        <v>23</v>
      </c>
      <c r="I5" s="24">
        <f>F5*8</f>
        <v>12000</v>
      </c>
      <c r="J5" s="18">
        <f>F5*8.5</f>
        <v>12750</v>
      </c>
      <c r="K5" s="18">
        <f>F5*7.8</f>
        <v>11700</v>
      </c>
      <c r="L5" s="18">
        <f>F5*8.99</f>
        <v>13485</v>
      </c>
      <c r="M5" s="18">
        <f>F5*10.3</f>
        <v>15450.000000000002</v>
      </c>
      <c r="N5" s="18">
        <f>MIN(I5:M5)</f>
        <v>11700</v>
      </c>
      <c r="O5" s="18">
        <f>AVERAGE(I5:M5)</f>
        <v>13077</v>
      </c>
      <c r="P5" s="19">
        <f>MEDIAN(I5:M5)</f>
        <v>12750</v>
      </c>
      <c r="Q5" s="20">
        <f aca="true" t="shared" si="0" ref="Q5:Q23">STDEV(I5:M5)/AVERAGE(I5:M5)</f>
        <v>0.11445372753886782</v>
      </c>
      <c r="R5" s="18">
        <f>S5/F5</f>
        <v>8.718</v>
      </c>
      <c r="S5" s="18">
        <f>O5</f>
        <v>13077</v>
      </c>
    </row>
    <row r="6" spans="1:19" s="7" customFormat="1" ht="72.75" customHeight="1">
      <c r="A6" s="37"/>
      <c r="B6" s="37"/>
      <c r="C6" s="41"/>
      <c r="D6" s="23">
        <v>2</v>
      </c>
      <c r="E6" s="13">
        <v>266345</v>
      </c>
      <c r="F6" s="13">
        <v>20</v>
      </c>
      <c r="G6" s="12" t="s">
        <v>24</v>
      </c>
      <c r="H6" s="10" t="s">
        <v>25</v>
      </c>
      <c r="I6" s="24">
        <f>F6*120</f>
        <v>2400</v>
      </c>
      <c r="J6" s="18">
        <f>F6*251.1</f>
        <v>5022</v>
      </c>
      <c r="K6" s="18">
        <f>F6*99</f>
        <v>1980</v>
      </c>
      <c r="L6" s="18">
        <f>F6*97.04</f>
        <v>1940.8000000000002</v>
      </c>
      <c r="M6" s="18">
        <f>F6*75</f>
        <v>1500</v>
      </c>
      <c r="N6" s="18">
        <f aca="true" t="shared" si="1" ref="N6:N9">MIN(I6:M6)</f>
        <v>1500</v>
      </c>
      <c r="O6" s="18">
        <f aca="true" t="shared" si="2" ref="O6:O9">AVERAGE(I6:M6)</f>
        <v>2568.56</v>
      </c>
      <c r="P6" s="19">
        <f aca="true" t="shared" si="3" ref="P6:P9">MEDIAN(I6:M6)</f>
        <v>1980</v>
      </c>
      <c r="Q6" s="20">
        <f t="shared" si="0"/>
        <v>0.5481750253190156</v>
      </c>
      <c r="R6" s="18">
        <f>S6/F6</f>
        <v>99</v>
      </c>
      <c r="S6" s="18">
        <f>P6</f>
        <v>1980</v>
      </c>
    </row>
    <row r="7" spans="1:19" s="7" customFormat="1" ht="66.75" customHeight="1">
      <c r="A7" s="37"/>
      <c r="B7" s="37"/>
      <c r="C7" s="41"/>
      <c r="D7" s="23">
        <v>3</v>
      </c>
      <c r="E7" s="13">
        <v>974234</v>
      </c>
      <c r="F7" s="13">
        <v>1500</v>
      </c>
      <c r="G7" s="12" t="s">
        <v>26</v>
      </c>
      <c r="H7" s="10" t="s">
        <v>27</v>
      </c>
      <c r="I7" s="24">
        <f>F7*1.5</f>
        <v>2250</v>
      </c>
      <c r="J7" s="18">
        <f>F7*1.9</f>
        <v>2850</v>
      </c>
      <c r="K7" s="18">
        <f>F7*1.9</f>
        <v>2850</v>
      </c>
      <c r="L7" s="18">
        <f>F7*1.24</f>
        <v>1860</v>
      </c>
      <c r="M7" s="18">
        <f>F7*15.7/6</f>
        <v>3925</v>
      </c>
      <c r="N7" s="18">
        <f t="shared" si="1"/>
        <v>1860</v>
      </c>
      <c r="O7" s="18">
        <f t="shared" si="2"/>
        <v>2747</v>
      </c>
      <c r="P7" s="19">
        <f t="shared" si="3"/>
        <v>2850</v>
      </c>
      <c r="Q7" s="20">
        <f t="shared" si="0"/>
        <v>0.2844753452584239</v>
      </c>
      <c r="R7" s="18">
        <f>S7/F7</f>
        <v>1.9</v>
      </c>
      <c r="S7" s="18">
        <f>P7</f>
        <v>2850</v>
      </c>
    </row>
    <row r="8" spans="1:19" s="7" customFormat="1" ht="80.25" customHeight="1">
      <c r="A8" s="37"/>
      <c r="B8" s="37"/>
      <c r="C8" s="41"/>
      <c r="D8" s="23">
        <v>4</v>
      </c>
      <c r="E8" s="13">
        <v>789844</v>
      </c>
      <c r="F8" s="13">
        <v>3500</v>
      </c>
      <c r="G8" s="12" t="s">
        <v>26</v>
      </c>
      <c r="H8" s="10" t="s">
        <v>28</v>
      </c>
      <c r="I8" s="24">
        <f>F8*6.5</f>
        <v>22750</v>
      </c>
      <c r="J8" s="18">
        <f>F8*4.2</f>
        <v>14700</v>
      </c>
      <c r="K8" s="18">
        <f>F8*4.5</f>
        <v>15750</v>
      </c>
      <c r="L8" s="18">
        <f>F8*3.25</f>
        <v>11375</v>
      </c>
      <c r="M8" s="18">
        <f>F8*18</f>
        <v>63000</v>
      </c>
      <c r="N8" s="18">
        <f t="shared" si="1"/>
        <v>11375</v>
      </c>
      <c r="O8" s="18">
        <f t="shared" si="2"/>
        <v>25515</v>
      </c>
      <c r="P8" s="19">
        <f t="shared" si="3"/>
        <v>15750</v>
      </c>
      <c r="Q8" s="20">
        <f t="shared" si="0"/>
        <v>0.837161747924292</v>
      </c>
      <c r="R8" s="18">
        <f>S8/F8</f>
        <v>4.5</v>
      </c>
      <c r="S8" s="18">
        <f>P8</f>
        <v>15750</v>
      </c>
    </row>
    <row r="9" spans="1:19" s="7" customFormat="1" ht="89.25" customHeight="1">
      <c r="A9" s="37"/>
      <c r="B9" s="37"/>
      <c r="C9" s="41"/>
      <c r="D9" s="13">
        <v>5</v>
      </c>
      <c r="E9" s="13">
        <v>1155407</v>
      </c>
      <c r="F9" s="13">
        <v>10000</v>
      </c>
      <c r="G9" s="26" t="s">
        <v>26</v>
      </c>
      <c r="H9" s="27" t="s">
        <v>29</v>
      </c>
      <c r="I9" s="24">
        <f>F9*5.5</f>
        <v>55000</v>
      </c>
      <c r="J9" s="18">
        <f>F9*4</f>
        <v>40000</v>
      </c>
      <c r="K9" s="18">
        <f>F9*3.8</f>
        <v>38000</v>
      </c>
      <c r="L9" s="18">
        <f>F9*4.46</f>
        <v>44600</v>
      </c>
      <c r="M9" s="18">
        <f>F9*3.33</f>
        <v>33300</v>
      </c>
      <c r="N9" s="18">
        <f t="shared" si="1"/>
        <v>33300</v>
      </c>
      <c r="O9" s="18">
        <f t="shared" si="2"/>
        <v>42180</v>
      </c>
      <c r="P9" s="19">
        <f t="shared" si="3"/>
        <v>40000</v>
      </c>
      <c r="Q9" s="28">
        <f t="shared" si="0"/>
        <v>0.19524446049557806</v>
      </c>
      <c r="R9" s="18">
        <f aca="true" t="shared" si="4" ref="R9:R10">S9/F9</f>
        <v>4</v>
      </c>
      <c r="S9" s="18">
        <f aca="true" t="shared" si="5" ref="S9:S10">P9</f>
        <v>40000</v>
      </c>
    </row>
    <row r="10" spans="1:19" s="7" customFormat="1" ht="58.5" customHeight="1">
      <c r="A10" s="37"/>
      <c r="B10" s="37"/>
      <c r="C10" s="41"/>
      <c r="D10" s="13">
        <v>6</v>
      </c>
      <c r="E10" s="13">
        <v>1810677</v>
      </c>
      <c r="F10" s="13">
        <v>2000</v>
      </c>
      <c r="G10" s="12" t="s">
        <v>26</v>
      </c>
      <c r="H10" s="10" t="s">
        <v>30</v>
      </c>
      <c r="I10" s="24">
        <f>F10*5</f>
        <v>10000</v>
      </c>
      <c r="J10" s="18">
        <f>F10*3.89</f>
        <v>7780</v>
      </c>
      <c r="K10" s="18">
        <f>F10*3.5</f>
        <v>7000</v>
      </c>
      <c r="L10" s="18">
        <f>F10*5.69</f>
        <v>11380</v>
      </c>
      <c r="M10" s="18">
        <f>F10*2.86</f>
        <v>5720</v>
      </c>
      <c r="N10" s="18">
        <f aca="true" t="shared" si="6" ref="N10:N15">MIN(I10:M10)</f>
        <v>5720</v>
      </c>
      <c r="O10" s="18">
        <f aca="true" t="shared" si="7" ref="O10:O15">AVERAGE(I10:M10)</f>
        <v>8376</v>
      </c>
      <c r="P10" s="19">
        <f aca="true" t="shared" si="8" ref="P10:P15">MEDIAN(I10:M10)</f>
        <v>7780</v>
      </c>
      <c r="Q10" s="20">
        <f t="shared" si="0"/>
        <v>0.27332145611190456</v>
      </c>
      <c r="R10" s="18">
        <f t="shared" si="4"/>
        <v>3.89</v>
      </c>
      <c r="S10" s="18">
        <f t="shared" si="5"/>
        <v>7780</v>
      </c>
    </row>
    <row r="11" spans="1:19" s="7" customFormat="1" ht="58.5" customHeight="1">
      <c r="A11" s="37"/>
      <c r="B11" s="37"/>
      <c r="C11" s="41"/>
      <c r="D11" s="13">
        <v>7</v>
      </c>
      <c r="E11" s="13">
        <v>1349899</v>
      </c>
      <c r="F11" s="13">
        <v>2000</v>
      </c>
      <c r="G11" s="12" t="s">
        <v>26</v>
      </c>
      <c r="H11" s="10" t="s">
        <v>31</v>
      </c>
      <c r="I11" s="24">
        <f>F11*11</f>
        <v>22000</v>
      </c>
      <c r="J11" s="18">
        <f>F11*7.75</f>
        <v>15500</v>
      </c>
      <c r="K11" s="18">
        <f>F11*12.2</f>
        <v>24400</v>
      </c>
      <c r="L11" s="18">
        <f>F11*7.59</f>
        <v>15180</v>
      </c>
      <c r="M11" s="18">
        <f>F11*10.09</f>
        <v>20180</v>
      </c>
      <c r="N11" s="18">
        <f t="shared" si="6"/>
        <v>15180</v>
      </c>
      <c r="O11" s="18">
        <f t="shared" si="7"/>
        <v>19452</v>
      </c>
      <c r="P11" s="19">
        <f t="shared" si="8"/>
        <v>20180</v>
      </c>
      <c r="Q11" s="20">
        <f t="shared" si="0"/>
        <v>0.20782887235768252</v>
      </c>
      <c r="R11" s="18">
        <f>S11/F11</f>
        <v>9.726</v>
      </c>
      <c r="S11" s="18">
        <f>O11</f>
        <v>19452</v>
      </c>
    </row>
    <row r="12" spans="1:19" s="7" customFormat="1" ht="117" customHeight="1">
      <c r="A12" s="37"/>
      <c r="B12" s="37"/>
      <c r="C12" s="41"/>
      <c r="D12" s="13">
        <v>8</v>
      </c>
      <c r="E12" s="13">
        <v>1717405</v>
      </c>
      <c r="F12" s="13">
        <v>30000</v>
      </c>
      <c r="G12" s="12" t="s">
        <v>26</v>
      </c>
      <c r="H12" s="10" t="s">
        <v>32</v>
      </c>
      <c r="I12" s="24">
        <f>F12*4.8</f>
        <v>144000</v>
      </c>
      <c r="J12" s="18">
        <f>F12*7.1</f>
        <v>213000</v>
      </c>
      <c r="K12" s="18">
        <f>F12*6.5</f>
        <v>195000</v>
      </c>
      <c r="L12" s="18">
        <f>F12*5.38</f>
        <v>161400</v>
      </c>
      <c r="M12" s="18">
        <f>F12*6.74</f>
        <v>202200</v>
      </c>
      <c r="N12" s="18">
        <f t="shared" si="6"/>
        <v>144000</v>
      </c>
      <c r="O12" s="18">
        <f t="shared" si="7"/>
        <v>183120</v>
      </c>
      <c r="P12" s="19">
        <f t="shared" si="8"/>
        <v>195000</v>
      </c>
      <c r="Q12" s="20">
        <f t="shared" si="0"/>
        <v>0.15921422162807952</v>
      </c>
      <c r="R12" s="18">
        <f>S12/F12</f>
        <v>6.104</v>
      </c>
      <c r="S12" s="18">
        <f>O12</f>
        <v>183120</v>
      </c>
    </row>
    <row r="13" spans="1:19" s="7" customFormat="1" ht="89.25" customHeight="1">
      <c r="A13" s="37"/>
      <c r="B13" s="37"/>
      <c r="C13" s="41"/>
      <c r="D13" s="13">
        <v>9</v>
      </c>
      <c r="E13" s="13">
        <v>1350510</v>
      </c>
      <c r="F13" s="13">
        <v>300</v>
      </c>
      <c r="G13" s="12" t="s">
        <v>26</v>
      </c>
      <c r="H13" s="10" t="s">
        <v>33</v>
      </c>
      <c r="I13" s="24">
        <f>F13*18</f>
        <v>5400</v>
      </c>
      <c r="J13" s="18">
        <f>F13*56.9</f>
        <v>17070</v>
      </c>
      <c r="K13" s="18">
        <f>F13*55</f>
        <v>16500</v>
      </c>
      <c r="L13" s="18">
        <f>F13*7.22</f>
        <v>2166</v>
      </c>
      <c r="M13" s="18">
        <f>F13*36.67</f>
        <v>11001</v>
      </c>
      <c r="N13" s="18">
        <f t="shared" si="6"/>
        <v>2166</v>
      </c>
      <c r="O13" s="18">
        <f t="shared" si="7"/>
        <v>10427.4</v>
      </c>
      <c r="P13" s="19">
        <f t="shared" si="8"/>
        <v>11001</v>
      </c>
      <c r="Q13" s="20">
        <f t="shared" si="0"/>
        <v>0.6340640445825527</v>
      </c>
      <c r="R13" s="18">
        <f aca="true" t="shared" si="9" ref="R13:R16">S13/F13</f>
        <v>36.67</v>
      </c>
      <c r="S13" s="18">
        <f>P13</f>
        <v>11001</v>
      </c>
    </row>
    <row r="14" spans="1:19" s="7" customFormat="1" ht="75.75" customHeight="1">
      <c r="A14" s="37"/>
      <c r="B14" s="37"/>
      <c r="C14" s="41"/>
      <c r="D14" s="13">
        <v>10</v>
      </c>
      <c r="E14" s="13">
        <v>1350501</v>
      </c>
      <c r="F14" s="13">
        <v>300</v>
      </c>
      <c r="G14" s="12" t="s">
        <v>26</v>
      </c>
      <c r="H14" s="10" t="s">
        <v>34</v>
      </c>
      <c r="I14" s="24">
        <f>F14*22</f>
        <v>6600</v>
      </c>
      <c r="J14" s="18">
        <f>F14*66.2</f>
        <v>19860</v>
      </c>
      <c r="K14" s="18">
        <f>F14*60</f>
        <v>18000</v>
      </c>
      <c r="L14" s="18">
        <f>F14*12.95</f>
        <v>3885</v>
      </c>
      <c r="M14" s="18">
        <f>F14*22.4</f>
        <v>6720</v>
      </c>
      <c r="N14" s="18">
        <f t="shared" si="6"/>
        <v>3885</v>
      </c>
      <c r="O14" s="18">
        <f t="shared" si="7"/>
        <v>11013</v>
      </c>
      <c r="P14" s="19">
        <f t="shared" si="8"/>
        <v>6720</v>
      </c>
      <c r="Q14" s="20">
        <f t="shared" si="0"/>
        <v>0.6669456858535004</v>
      </c>
      <c r="R14" s="18">
        <f t="shared" si="9"/>
        <v>22.4</v>
      </c>
      <c r="S14" s="18">
        <f>P14</f>
        <v>6720</v>
      </c>
    </row>
    <row r="15" spans="1:19" s="7" customFormat="1" ht="145.5" customHeight="1">
      <c r="A15" s="37"/>
      <c r="B15" s="37"/>
      <c r="C15" s="41"/>
      <c r="D15" s="13">
        <v>11</v>
      </c>
      <c r="E15" s="13">
        <v>113654</v>
      </c>
      <c r="F15" s="13">
        <v>3000</v>
      </c>
      <c r="G15" s="12" t="s">
        <v>26</v>
      </c>
      <c r="H15" s="10" t="s">
        <v>35</v>
      </c>
      <c r="I15" s="24">
        <f>F15*18</f>
        <v>54000</v>
      </c>
      <c r="J15" s="18">
        <f>F15*17</f>
        <v>51000</v>
      </c>
      <c r="K15" s="18">
        <f>F15*15</f>
        <v>45000</v>
      </c>
      <c r="L15" s="18">
        <f>F15*10.38</f>
        <v>31140.000000000004</v>
      </c>
      <c r="M15" s="18">
        <f>F15*46.18</f>
        <v>138540</v>
      </c>
      <c r="N15" s="18">
        <f t="shared" si="6"/>
        <v>31140.000000000004</v>
      </c>
      <c r="O15" s="18">
        <f t="shared" si="7"/>
        <v>63936</v>
      </c>
      <c r="P15" s="19">
        <f t="shared" si="8"/>
        <v>51000</v>
      </c>
      <c r="Q15" s="20">
        <f t="shared" si="0"/>
        <v>0.6666092931655279</v>
      </c>
      <c r="R15" s="18">
        <f aca="true" t="shared" si="10" ref="R15">S15/F15</f>
        <v>17</v>
      </c>
      <c r="S15" s="18">
        <f>P15</f>
        <v>51000</v>
      </c>
    </row>
    <row r="16" spans="1:19" s="7" customFormat="1" ht="81.75" customHeight="1">
      <c r="A16" s="37"/>
      <c r="B16" s="37"/>
      <c r="C16" s="41"/>
      <c r="D16" s="13">
        <v>12</v>
      </c>
      <c r="E16" s="13">
        <v>1350340</v>
      </c>
      <c r="F16" s="13">
        <v>300</v>
      </c>
      <c r="G16" s="12" t="s">
        <v>26</v>
      </c>
      <c r="H16" s="10" t="s">
        <v>36</v>
      </c>
      <c r="I16" s="24">
        <f>F16*10</f>
        <v>3000</v>
      </c>
      <c r="J16" s="18">
        <f>F16*8</f>
        <v>2400</v>
      </c>
      <c r="K16" s="18" t="s">
        <v>37</v>
      </c>
      <c r="L16" s="18">
        <f>F16*12.22</f>
        <v>3666</v>
      </c>
      <c r="M16" s="18" t="s">
        <v>38</v>
      </c>
      <c r="N16" s="18">
        <f>MIN(I16:M16)</f>
        <v>2400</v>
      </c>
      <c r="O16" s="18">
        <f>AVERAGE(I16:M16)</f>
        <v>3022</v>
      </c>
      <c r="P16" s="19">
        <f>MEDIAN(I16:M16)</f>
        <v>3000</v>
      </c>
      <c r="Q16" s="20">
        <f t="shared" si="0"/>
        <v>0.2095587905186108</v>
      </c>
      <c r="R16" s="18">
        <f t="shared" si="9"/>
        <v>10.073333333333334</v>
      </c>
      <c r="S16" s="18">
        <f>O16</f>
        <v>3022</v>
      </c>
    </row>
    <row r="17" spans="1:19" s="7" customFormat="1" ht="58.5" customHeight="1">
      <c r="A17" s="37"/>
      <c r="B17" s="37"/>
      <c r="C17" s="41"/>
      <c r="D17" s="17">
        <v>13</v>
      </c>
      <c r="E17" s="13">
        <v>1117610</v>
      </c>
      <c r="F17" s="13">
        <v>1500</v>
      </c>
      <c r="G17" s="12" t="s">
        <v>26</v>
      </c>
      <c r="H17" s="10" t="s">
        <v>39</v>
      </c>
      <c r="I17" s="24" t="s">
        <v>37</v>
      </c>
      <c r="J17" s="18">
        <f>F17*9.9</f>
        <v>14850</v>
      </c>
      <c r="K17" s="18" t="s">
        <v>37</v>
      </c>
      <c r="L17" s="18">
        <f>F17*14</f>
        <v>21000</v>
      </c>
      <c r="M17" s="18" t="s">
        <v>38</v>
      </c>
      <c r="N17" s="18">
        <f aca="true" t="shared" si="11" ref="N17:N18">MIN(I17:M17)</f>
        <v>14850</v>
      </c>
      <c r="O17" s="18">
        <f aca="true" t="shared" si="12" ref="O17:O18">AVERAGE(I17:M17)</f>
        <v>17925</v>
      </c>
      <c r="P17" s="19">
        <f aca="true" t="shared" si="13" ref="P17:P18">MEDIAN(I17:M17)</f>
        <v>17925</v>
      </c>
      <c r="Q17" s="20">
        <f t="shared" si="0"/>
        <v>0.24260567387990337</v>
      </c>
      <c r="R17" s="18">
        <f aca="true" t="shared" si="14" ref="R17:R20">S17/F17</f>
        <v>11.95</v>
      </c>
      <c r="S17" s="18">
        <f aca="true" t="shared" si="15" ref="S17:S19">O17</f>
        <v>17925</v>
      </c>
    </row>
    <row r="18" spans="1:19" s="7" customFormat="1" ht="83.25" customHeight="1">
      <c r="A18" s="37"/>
      <c r="B18" s="37"/>
      <c r="C18" s="41"/>
      <c r="D18" s="17">
        <v>14</v>
      </c>
      <c r="E18" s="13">
        <v>1640011</v>
      </c>
      <c r="F18" s="13">
        <v>1000</v>
      </c>
      <c r="G18" s="12" t="s">
        <v>40</v>
      </c>
      <c r="H18" s="10" t="s">
        <v>41</v>
      </c>
      <c r="I18" s="24" t="s">
        <v>37</v>
      </c>
      <c r="J18" s="18">
        <f>F18*12</f>
        <v>12000</v>
      </c>
      <c r="K18" s="18" t="s">
        <v>37</v>
      </c>
      <c r="L18" s="18">
        <f>F18*16.66</f>
        <v>16660</v>
      </c>
      <c r="M18" s="18" t="s">
        <v>38</v>
      </c>
      <c r="N18" s="18">
        <f t="shared" si="11"/>
        <v>12000</v>
      </c>
      <c r="O18" s="18">
        <f t="shared" si="12"/>
        <v>14330</v>
      </c>
      <c r="P18" s="19">
        <f t="shared" si="13"/>
        <v>14330</v>
      </c>
      <c r="Q18" s="20">
        <f t="shared" si="0"/>
        <v>0.2299454012790866</v>
      </c>
      <c r="R18" s="18">
        <f t="shared" si="14"/>
        <v>14.33</v>
      </c>
      <c r="S18" s="18">
        <f t="shared" si="15"/>
        <v>14330</v>
      </c>
    </row>
    <row r="19" spans="1:19" s="7" customFormat="1" ht="83.25" customHeight="1">
      <c r="A19" s="37"/>
      <c r="B19" s="37"/>
      <c r="C19" s="41"/>
      <c r="D19" s="17">
        <v>15</v>
      </c>
      <c r="E19" s="13">
        <v>1350234</v>
      </c>
      <c r="F19" s="13">
        <v>1500</v>
      </c>
      <c r="G19" s="12" t="s">
        <v>40</v>
      </c>
      <c r="H19" s="10" t="s">
        <v>42</v>
      </c>
      <c r="I19" s="24" t="s">
        <v>37</v>
      </c>
      <c r="J19" s="18">
        <f>F19*13.9</f>
        <v>20850</v>
      </c>
      <c r="K19" s="18" t="s">
        <v>37</v>
      </c>
      <c r="L19" s="18">
        <f>F19*10.43</f>
        <v>15645</v>
      </c>
      <c r="M19" s="18" t="s">
        <v>38</v>
      </c>
      <c r="N19" s="18">
        <f aca="true" t="shared" si="16" ref="N19:N23">MIN(I19:M19)</f>
        <v>15645</v>
      </c>
      <c r="O19" s="18">
        <f aca="true" t="shared" si="17" ref="O19:O23">AVERAGE(I19:M19)</f>
        <v>18247.5</v>
      </c>
      <c r="P19" s="19">
        <f aca="true" t="shared" si="18" ref="P19:P23">MEDIAN(I19:M19)</f>
        <v>18247.5</v>
      </c>
      <c r="Q19" s="20">
        <f t="shared" si="0"/>
        <v>0.20169835846422687</v>
      </c>
      <c r="R19" s="18">
        <f t="shared" si="14"/>
        <v>12.165</v>
      </c>
      <c r="S19" s="18">
        <f t="shared" si="15"/>
        <v>18247.5</v>
      </c>
    </row>
    <row r="20" spans="1:19" s="7" customFormat="1" ht="83.25" customHeight="1">
      <c r="A20" s="37"/>
      <c r="B20" s="37"/>
      <c r="C20" s="41"/>
      <c r="D20" s="17">
        <v>16</v>
      </c>
      <c r="E20" s="13">
        <v>1350250</v>
      </c>
      <c r="F20" s="13">
        <v>1500</v>
      </c>
      <c r="G20" s="12" t="s">
        <v>40</v>
      </c>
      <c r="H20" s="10" t="s">
        <v>43</v>
      </c>
      <c r="I20" s="24" t="s">
        <v>37</v>
      </c>
      <c r="J20" s="18">
        <f>F20*18</f>
        <v>27000</v>
      </c>
      <c r="K20" s="18" t="s">
        <v>37</v>
      </c>
      <c r="L20" s="18">
        <f>F20*11.9</f>
        <v>17850</v>
      </c>
      <c r="M20" s="18" t="s">
        <v>38</v>
      </c>
      <c r="N20" s="18">
        <f t="shared" si="16"/>
        <v>17850</v>
      </c>
      <c r="O20" s="18">
        <f t="shared" si="17"/>
        <v>22425</v>
      </c>
      <c r="P20" s="19">
        <f t="shared" si="18"/>
        <v>22425</v>
      </c>
      <c r="Q20" s="20">
        <f t="shared" si="0"/>
        <v>0.28851848596909296</v>
      </c>
      <c r="R20" s="18">
        <f t="shared" si="14"/>
        <v>14.95</v>
      </c>
      <c r="S20" s="18">
        <f>P20</f>
        <v>22425</v>
      </c>
    </row>
    <row r="21" spans="1:19" s="7" customFormat="1" ht="83.25" customHeight="1">
      <c r="A21" s="37"/>
      <c r="B21" s="37"/>
      <c r="C21" s="41"/>
      <c r="D21" s="17">
        <v>17</v>
      </c>
      <c r="E21" s="13">
        <v>75132</v>
      </c>
      <c r="F21" s="13">
        <v>10000</v>
      </c>
      <c r="G21" s="12" t="s">
        <v>40</v>
      </c>
      <c r="H21" s="10" t="s">
        <v>44</v>
      </c>
      <c r="I21" s="24">
        <f>F21*0.5</f>
        <v>5000</v>
      </c>
      <c r="J21" s="18">
        <f>F21*0.9</f>
        <v>9000</v>
      </c>
      <c r="K21" s="18">
        <f>F21*0.35</f>
        <v>3500</v>
      </c>
      <c r="L21" s="18">
        <f>F21*0.36</f>
        <v>3600</v>
      </c>
      <c r="M21" s="18">
        <f>F21*174.55/400</f>
        <v>4363.75</v>
      </c>
      <c r="N21" s="18">
        <f t="shared" si="16"/>
        <v>3500</v>
      </c>
      <c r="O21" s="18">
        <f t="shared" si="17"/>
        <v>5092.75</v>
      </c>
      <c r="P21" s="19">
        <f t="shared" si="18"/>
        <v>4363.75</v>
      </c>
      <c r="Q21" s="20">
        <f t="shared" si="0"/>
        <v>0.4453011398434486</v>
      </c>
      <c r="R21" s="18">
        <f aca="true" t="shared" si="19" ref="R21:R23">S21/F21</f>
        <v>0.436375</v>
      </c>
      <c r="S21" s="18">
        <f aca="true" t="shared" si="20" ref="S21:S23">P21</f>
        <v>4363.75</v>
      </c>
    </row>
    <row r="22" spans="1:19" s="7" customFormat="1" ht="83.25" customHeight="1">
      <c r="A22" s="37"/>
      <c r="B22" s="37"/>
      <c r="C22" s="41"/>
      <c r="D22" s="17">
        <v>18</v>
      </c>
      <c r="E22" s="13">
        <v>74705</v>
      </c>
      <c r="F22" s="13">
        <v>500</v>
      </c>
      <c r="G22" s="12" t="s">
        <v>45</v>
      </c>
      <c r="H22" s="10" t="s">
        <v>46</v>
      </c>
      <c r="I22" s="24" t="s">
        <v>37</v>
      </c>
      <c r="J22" s="18">
        <f>F22*12</f>
        <v>6000</v>
      </c>
      <c r="K22" s="18">
        <f>F22*7.5</f>
        <v>3750</v>
      </c>
      <c r="L22" s="18">
        <f>F22*64.98</f>
        <v>32490.000000000004</v>
      </c>
      <c r="M22" s="18">
        <f>F22*21.55</f>
        <v>10775</v>
      </c>
      <c r="N22" s="18">
        <f t="shared" si="16"/>
        <v>3750</v>
      </c>
      <c r="O22" s="18">
        <f t="shared" si="17"/>
        <v>13253.75</v>
      </c>
      <c r="P22" s="19">
        <f t="shared" si="18"/>
        <v>8387.5</v>
      </c>
      <c r="Q22" s="20">
        <f t="shared" si="0"/>
        <v>0.9925049170999638</v>
      </c>
      <c r="R22" s="18">
        <f t="shared" si="19"/>
        <v>16.775</v>
      </c>
      <c r="S22" s="18">
        <f t="shared" si="20"/>
        <v>8387.5</v>
      </c>
    </row>
    <row r="23" spans="1:19" s="7" customFormat="1" ht="83.25" customHeight="1">
      <c r="A23" s="37"/>
      <c r="B23" s="37"/>
      <c r="C23" s="42"/>
      <c r="D23" s="17">
        <v>19</v>
      </c>
      <c r="E23" s="13">
        <v>117560</v>
      </c>
      <c r="F23" s="13">
        <v>20</v>
      </c>
      <c r="G23" s="12" t="s">
        <v>47</v>
      </c>
      <c r="H23" s="10" t="s">
        <v>48</v>
      </c>
      <c r="I23" s="24" t="s">
        <v>37</v>
      </c>
      <c r="J23" s="18">
        <f>F23*79</f>
        <v>1580</v>
      </c>
      <c r="K23" s="18" t="s">
        <v>37</v>
      </c>
      <c r="L23" s="18">
        <f>F23*25</f>
        <v>500</v>
      </c>
      <c r="M23" s="18">
        <f>F23*67.01</f>
        <v>1340.2</v>
      </c>
      <c r="N23" s="18">
        <f t="shared" si="16"/>
        <v>500</v>
      </c>
      <c r="O23" s="18">
        <f t="shared" si="17"/>
        <v>1140.0666666666666</v>
      </c>
      <c r="P23" s="19">
        <f t="shared" si="18"/>
        <v>1340.2</v>
      </c>
      <c r="Q23" s="20">
        <f t="shared" si="0"/>
        <v>0.4974561310065937</v>
      </c>
      <c r="R23" s="18">
        <f t="shared" si="19"/>
        <v>67.01</v>
      </c>
      <c r="S23" s="18">
        <f t="shared" si="20"/>
        <v>1340.2</v>
      </c>
    </row>
  </sheetData>
  <sheetProtection selectLockedCells="1" selectUnlockedCells="1"/>
  <mergeCells count="7">
    <mergeCell ref="A1:B23"/>
    <mergeCell ref="I3:K3"/>
    <mergeCell ref="C5:C23"/>
    <mergeCell ref="C1:S1"/>
    <mergeCell ref="N3:S3"/>
    <mergeCell ref="C3:H3"/>
    <mergeCell ref="C2:S2"/>
  </mergeCells>
  <printOptions horizontalCentered="1"/>
  <pageMargins left="0.20069444444444445" right="0" top="0.15763888888888888" bottom="0.2361111111111111" header="0.5118055555555555" footer="0.11805555555555555"/>
  <pageSetup horizontalDpi="300" verticalDpi="300" orientation="landscape" paperSize="9" scale="85" r:id="rId2"/>
  <headerFooter alignWithMargins="0">
    <oddFooter>&amp;L&amp;4DMAP1.XLS&amp;C&amp;4MP/PGJ&amp;R&amp;4SPC/DPLI/AGO/99</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eb315a1-fd1d-4c46-bc29-5324cfd3155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766810F3571A045AFE15E5668B16395" ma:contentTypeVersion="12" ma:contentTypeDescription="Crie um novo documento." ma:contentTypeScope="" ma:versionID="92a54f8bdf2613f29ed5dfe1735421eb">
  <xsd:schema xmlns:xsd="http://www.w3.org/2001/XMLSchema" xmlns:xs="http://www.w3.org/2001/XMLSchema" xmlns:p="http://schemas.microsoft.com/office/2006/metadata/properties" xmlns:ns2="1eb315a1-fd1d-4c46-bc29-5324cfd31550" xmlns:ns3="040f40de-0951-4de2-aa99-b1ea904a966c" targetNamespace="http://schemas.microsoft.com/office/2006/metadata/properties" ma:root="true" ma:fieldsID="4867d88ea3bfcdac79e0acfb0c6c4797" ns2:_="" ns3:_="">
    <xsd:import namespace="1eb315a1-fd1d-4c46-bc29-5324cfd31550"/>
    <xsd:import namespace="040f40de-0951-4de2-aa99-b1ea904a96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b315a1-fd1d-4c46-bc29-5324cfd31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de liberação" ma:internalName="Status_x0020_de_x0020_libera_x00e7__x00e3_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f40de-0951-4de2-aa99-b1ea904a966c"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A11C04-CB70-4466-915C-D3FAF4D21B4D}">
  <ds:schemaRefs>
    <ds:schemaRef ds:uri="http://www.w3.org/XML/1998/namespace"/>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040f40de-0951-4de2-aa99-b1ea904a966c"/>
    <ds:schemaRef ds:uri="1eb315a1-fd1d-4c46-bc29-5324cfd31550"/>
    <ds:schemaRef ds:uri="http://schemas.microsoft.com/office/2006/metadata/properties"/>
  </ds:schemaRefs>
</ds:datastoreItem>
</file>

<file path=customXml/itemProps2.xml><?xml version="1.0" encoding="utf-8"?>
<ds:datastoreItem xmlns:ds="http://schemas.openxmlformats.org/officeDocument/2006/customXml" ds:itemID="{235120D1-2D81-486D-B4FA-1FD1E04AE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b315a1-fd1d-4c46-bc29-5324cfd31550"/>
    <ds:schemaRef ds:uri="040f40de-0951-4de2-aa99-b1ea904a96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01894F-4598-43A2-BA15-BDB9C0F79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Maria Lessa da Costa</dc:creator>
  <cp:keywords/>
  <dc:description/>
  <cp:lastModifiedBy>Simone de Oliveira Capanema</cp:lastModifiedBy>
  <dcterms:created xsi:type="dcterms:W3CDTF">2018-03-23T12:39:52Z</dcterms:created>
  <dcterms:modified xsi:type="dcterms:W3CDTF">2022-06-24T11:39:56Z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0x0101005766810F3571A045AFE15E5668B16395</vt:lpwstr>
  </property>
</Properties>
</file>