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workbookProtection lockStructure="1"/>
  <bookViews>
    <workbookView xWindow="65476" yWindow="65476" windowWidth="20610" windowHeight="11040" tabRatio="500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TABLE_1">'Plan1'!#REF!</definedName>
    <definedName name="TABLE_10_1">NA()</definedName>
    <definedName name="TABLE_11_1">NA()</definedName>
    <definedName name="TABLE_12_1">NA()</definedName>
    <definedName name="TABLE_2_1">NA()</definedName>
    <definedName name="TABLE_3_1">NA()</definedName>
    <definedName name="TABLE_4_1">NA()</definedName>
    <definedName name="TABLE_5_1">NA()</definedName>
    <definedName name="TABLE_6_1">NA()</definedName>
    <definedName name="TABLE_7_1">NA()</definedName>
    <definedName name="TABLE_8_1">NA()</definedName>
    <definedName name="TABLE_9_1">NA()</definedName>
  </definedNames>
  <calcPr calcId="162913"/>
  <extLst/>
</workbook>
</file>

<file path=xl/sharedStrings.xml><?xml version="1.0" encoding="utf-8"?>
<sst xmlns="http://schemas.openxmlformats.org/spreadsheetml/2006/main" count="68" uniqueCount="55">
  <si>
    <t>OBJETO</t>
  </si>
  <si>
    <t>FORNECEDORES</t>
  </si>
  <si>
    <t>PREÇOS PÚBLICOS</t>
  </si>
  <si>
    <t>INTERNET</t>
  </si>
  <si>
    <t>PREÇOS DE REFERÊNCIA</t>
  </si>
  <si>
    <t xml:space="preserve">LOTE </t>
  </si>
  <si>
    <t>Item</t>
  </si>
  <si>
    <t>SIAD</t>
  </si>
  <si>
    <t>Quantl</t>
  </si>
  <si>
    <t>UNID.</t>
  </si>
  <si>
    <t>Descrição</t>
  </si>
  <si>
    <t>MAQNETE</t>
  </si>
  <si>
    <t>MÁXIMO DISTRIBUIDORA</t>
  </si>
  <si>
    <t>PAPYRUS</t>
  </si>
  <si>
    <t>BANCO DE PREÇOS/MELHORES PREÇOS SIAD</t>
  </si>
  <si>
    <t>VÁRIOS SITES</t>
  </si>
  <si>
    <t>MENOR PREÇO TOTAL</t>
  </si>
  <si>
    <t>PREÇO TOTAL MÉDIO</t>
  </si>
  <si>
    <t>PREÇO TOTAL MEDIANA</t>
  </si>
  <si>
    <t>COEFICIENTE DE VARIAÇÃO</t>
  </si>
  <si>
    <t>PREÇO UNITÁRIO SIAD</t>
  </si>
  <si>
    <t>PREÇO TOTAL SIAD</t>
  </si>
  <si>
    <t>Caixa c/100 unidades</t>
  </si>
  <si>
    <t>CLIPS PARA PAPEIS - TAMANHO: 2/0; MATÉRIA-PRIMA: AÇO; ACABAMENTO: NIQUELADO; TIPO: CONVENCIONAL; NA EMBALAGEM DEVERÁ CONSTAR OS DADOS DE IDENTIFICAÇÃO DO PRODUTO.</t>
  </si>
  <si>
    <t>Caixa c/ 50 unidades</t>
  </si>
  <si>
    <t>CLIPS PARA PAPEIS - TAMANHO: 6/0; MATÉRIA-PRIMA: AÇO; ACABAMENTO: NIQUELADO; TIPO: CONVENCIONAL; COMPLEMENTAÇÃO DA ESPECIFICAÇÃO DO ITEM DE MATERIAL: NA EMBALAGEM DEVERÁ CONSTAR OS DADOS DE IDENTIFICAÇÃO DO PRODUTO.</t>
  </si>
  <si>
    <t>Caixa c/ 72 unidades</t>
  </si>
  <si>
    <t>COLCHETE PARA PAPEL E PASTA - MATÉRIA-PRIMA: EM METAL; ACABAMENTO: LATONADO; NÚMERO: 09; HASTE: DUPLA E FLEXÍVEL.</t>
  </si>
  <si>
    <t>COLCHETE PARA PAPEL E PASTA - MATÉRIA-PRIMA: METAL; ACABAMENTO: LATONADO; NÚMERO: 12; HASTE: DUPLA E FLEXÍVEL</t>
  </si>
  <si>
    <t>Unidade</t>
  </si>
  <si>
    <t>GRAMPEADOR DE MESA - MODELO: COMUM; CAPACIDADE: 40 FOLHAS 75 G/M2; GRAMPOS COMPATÍVEIS: 26/6, 26/8; ESTRUTURA: METÁLICA.</t>
  </si>
  <si>
    <t>Caixa c/ 5.000 unidades</t>
  </si>
  <si>
    <t>GRAMPO PARA GRAMPEADOR - MATÉRIA-PRIMA: AÇO COBREADO; TAMANHO: 26/6.</t>
  </si>
  <si>
    <t>GRAMPO PARA GRAMPEADOR - MATÉRIA-PRIMA: AÇO COBREADO; TAMANHO: 26/8.</t>
  </si>
  <si>
    <t>N/C</t>
  </si>
  <si>
    <t>Caixa c/ 1.000 unidades</t>
  </si>
  <si>
    <t>GRAMPO PARA GRAMPEADOR - MATERIA-PRIMA: ACO GALVANIZADO; TAMANHO: 9/10.</t>
  </si>
  <si>
    <t>GRAMPO PARA GRAMPEADOR - MATÉRIA-PRIMA: AÇO GALVANIZADO; TAMANHO: 9/14; SEM REBARBA DE CORTE E/OU EXCESSO DE COLA. EMBALAGEM COM DADOS DE IDENTIFICAÇÃO DO PRODUTO, INDICAÇÃO DE QUANTIDADE E MARCA DO FABRICANTE.</t>
  </si>
  <si>
    <t>Caixa c/ 50 unid</t>
  </si>
  <si>
    <t>GRAMPO PARA PASTA - MATÉRIA-PRIMA: POLIPROPILENO; ACABAMENTO: VIRGEM NA COR BRANCO; TIPO: TRILHO; DISTÂNCIA ENTRE FUROS: 80MM; COMPLEMENTAÇÃO DA ESPECIFICAÇÃO DO ITEM DE MATERIAL: GRAMPO FIXADOR DE PAPEL, FABRICADO EM POLIPROPILENO VIRGEM NA COR BRANCO NATURAL. BASE COM SISTEMA DE CLICK PARA TRAVAR AS HASTES E FUROS COM DISTÂNCIA PADRÃO DE 80MM. HASTES PARA INSERIR 500 FOLHAS DE PAPEL 75 G/M² COM MEDIDA DE 90MM DE COMPRIMENTO DEVENDO SER FLEXÍVEL E RESISTENTE A TORÇÃO.</t>
  </si>
  <si>
    <t>EXTRATOR DE GRAMPOS - MATÉRIA-PRIMA: AÇO; TIPO: ALAVANCA; MEDIDAS APROXIMADAS: MEDINDO APROXIMADAMENTE 15CM.</t>
  </si>
  <si>
    <t>PERFURADOR PARA PAPEL - MATÉRIA-PRIMA: METAL; COR: PRETO; FURO: 2 FUROS; CAPACIDADE: 50 FOLHAS; MARGINADOR: COM MARGINADOR.</t>
  </si>
  <si>
    <t>Frasco c/ 90g</t>
  </si>
  <si>
    <t>COLA BRANCA - COMPOSIÇÃO: PVA - POLIACETATO DE VINILA, TEOR DE SÓLIDOS 25%; CARACTERÍSTICA: SOLÚVEL EM AGUA, LAVÁVEL E NAO TOXICA; APRESENTAÇÃO: FRASCO 90 G, COM BICO APLICADOR.</t>
  </si>
  <si>
    <t>COLA EM BASTÃO - COMPOSIÇÃO: BASE DE ÁGUA, POLIVINILPIRROLIDONA, ATÓXICA; ESTEARATO DE SÓDIO NAO DISSOLVIDO EM ÁLCOOL. ADESIVO EM BARRAS DE 08 A 10 GRAMAS PRESA A BASE, NAO DEVE SE DESPRENDER QUANDO USADA COM O ADESIVO PARA BAIXO.</t>
  </si>
  <si>
    <t>FITA PARA PROTOCOLADOR - MARCA/MODELO EQUIPAMENTO: HENRY PLUS/LITE/DOC; MATÉRIA-PRIMA: NYLON; COR: ROXA; NA EMBALAGEM DEVERÃO CONSTAR AS DATAS DE FABRICAÇÃO E VALIDADE DO PRODUTO.</t>
  </si>
  <si>
    <t>N/E</t>
  </si>
  <si>
    <t>Pacote c/ 100g</t>
  </si>
  <si>
    <t>GOMINHA - MATERIAL: LÁTEX; NÚMERO: 18; COR: AMARELA; EMBALAGEM HERMETICAMENTE FECHADA, CONSTANDO OS DADOS DE IDENTIFICAÇÃO, DATA DE FABRICAÇÃO E VALIDADE DO PRODUTO.</t>
  </si>
  <si>
    <t>PRANCHETA PESQUISADOR – MATÉRIA-PRIMA: ACRÍLICO; PRENDEDOR: METAL, ANTI-FERRUGEM; MEDIDAS: 230 X 340MM; COR: TRANSPARENTE.</t>
  </si>
  <si>
    <t>TESOURA - TIPO: MULTIUSO; LÂMINAS: AÇO INOX, MEDINDO 13CM; CABO: PLÁSTICO RESISTENTE, ANATÔMICO; COMPRIMENTO TOTAL CORPO: 21CM.</t>
  </si>
  <si>
    <t>UMEDECEDOR DE DEDOS - TIPO: CREMOSO, NAO GLICERINADO, ATÓXICO; BASE: POTE PLÁSTICO COM TAMPA; COMPLEMENTAÇÃO DA ESPECIFICAÇÃO DO ITEM DE MATERIAL: POTE COM 12 GRAMAS. NA EMBALAGEM DEVERÁ CONSTAR A DATA DE VALIDADE E NÚMERO DO LOTE DO PRODUTO.</t>
  </si>
  <si>
    <t>RÉGUA TIPO ESCRITÓRIO – MATÉRIA-PRIMA: EM PLÁSTICO; MEDIDA: 30 CM; COR: CRISTAL; COMPLEMENTAÇÃO DA ESPECIFICAÇÃO DO ITEM DE MATERIAL: COM ESCALA MILIMÉTRICA.</t>
  </si>
  <si>
    <t>CAIXA PARA CORRESPONDÊNCIA – MATÉRIA-PRIMA: ACRÍLICO; TIPO: SIMPLES; COR: CRISTAL; DIMENSÃO: 03CM ALTURA X 26CM LARGURA X 36CM COMPRIMENTO</t>
  </si>
  <si>
    <t xml:space="preserve">Processo: SEI 19.16.3900.0051054/2021-88                                                                                                                                                                                                                                                                                                                                                                                                                                                                                                                                                                                                                                                                      Mapa de Preços -  MATERIAIS DECONSUMO  LOTE 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</si>
</sst>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;&quot; (&quot;#,##0.00\);&quot; -&quot;#\ ;@\ 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</cellStyleXfs>
  <cellXfs count="38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21" applyFont="1" applyFill="1" applyBorder="1" applyAlignment="1" applyProtection="1">
      <alignment horizontal="center" vertical="center"/>
      <protection locked="0"/>
    </xf>
    <xf numFmtId="9" fontId="0" fillId="0" borderId="1" xfId="2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0" fillId="0" borderId="1" xfId="2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Vírgul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ustomXml" Target="../customXml/item1.xml" /><Relationship Id="rId20" Type="http://schemas.openxmlformats.org/officeDocument/2006/relationships/customXml" Target="../customXml/item2.xml" /><Relationship Id="rId21" Type="http://schemas.openxmlformats.org/officeDocument/2006/relationships/customXml" Target="../customXml/item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104775</xdr:rowOff>
    </xdr:from>
    <xdr:to>
      <xdr:col>5</xdr:col>
      <xdr:colOff>0</xdr:colOff>
      <xdr:row>0</xdr:row>
      <xdr:rowOff>704850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04775"/>
          <a:ext cx="17335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showOutlineSymbols="0" zoomScale="80" zoomScaleNormal="80" workbookViewId="0" topLeftCell="A1">
      <selection activeCell="C26" sqref="C26:S26"/>
    </sheetView>
  </sheetViews>
  <sheetFormatPr defaultColWidth="11.28125" defaultRowHeight="12.75"/>
  <cols>
    <col min="1" max="2" width="11.28125" style="4" customWidth="1"/>
    <col min="3" max="3" width="10.00390625" style="4" customWidth="1"/>
    <col min="4" max="4" width="8.57421875" style="1" customWidth="1"/>
    <col min="5" max="5" width="8.8515625" style="1" customWidth="1"/>
    <col min="6" max="6" width="8.421875" style="1" customWidth="1"/>
    <col min="7" max="7" width="9.28125" style="2" customWidth="1"/>
    <col min="8" max="8" width="45.28125" style="2" customWidth="1"/>
    <col min="9" max="9" width="14.8515625" style="3" hidden="1" customWidth="1"/>
    <col min="10" max="10" width="16.28125" style="3" hidden="1" customWidth="1"/>
    <col min="11" max="11" width="12.28125" style="3" hidden="1" customWidth="1"/>
    <col min="12" max="12" width="18.00390625" style="3" hidden="1" customWidth="1"/>
    <col min="13" max="13" width="12.28125" style="3" hidden="1" customWidth="1"/>
    <col min="14" max="14" width="16.7109375" style="2" hidden="1" customWidth="1"/>
    <col min="15" max="15" width="15.140625" style="3" hidden="1" customWidth="1"/>
    <col min="16" max="16" width="13.28125" style="3" hidden="1" customWidth="1"/>
    <col min="17" max="17" width="13.8515625" style="4" hidden="1" customWidth="1"/>
    <col min="18" max="18" width="13.8515625" style="9" customWidth="1"/>
    <col min="19" max="19" width="13.28125" style="9" customWidth="1"/>
    <col min="20" max="16384" width="11.28125" style="4" customWidth="1"/>
  </cols>
  <sheetData>
    <row r="1" spans="1:20" ht="74.65" customHeight="1">
      <c r="A1" s="35"/>
      <c r="B1" s="35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10"/>
    </row>
    <row r="2" spans="1:19" s="8" customFormat="1" ht="105" customHeight="1">
      <c r="A2" s="35"/>
      <c r="B2" s="35"/>
      <c r="C2" s="33" t="s">
        <v>54</v>
      </c>
      <c r="D2" s="33"/>
      <c r="E2" s="33"/>
      <c r="F2" s="33"/>
      <c r="G2" s="33"/>
      <c r="H2" s="33"/>
      <c r="I2" s="33"/>
      <c r="J2" s="33"/>
      <c r="K2" s="33"/>
      <c r="L2" s="34"/>
      <c r="M2" s="33"/>
      <c r="N2" s="33"/>
      <c r="O2" s="33"/>
      <c r="P2" s="33"/>
      <c r="Q2" s="33"/>
      <c r="R2" s="33"/>
      <c r="S2" s="33"/>
    </row>
    <row r="3" spans="1:19" s="5" customFormat="1" ht="47.45" customHeight="1">
      <c r="A3" s="35"/>
      <c r="B3" s="35"/>
      <c r="C3" s="31" t="s">
        <v>0</v>
      </c>
      <c r="D3" s="31"/>
      <c r="E3" s="31"/>
      <c r="F3" s="31"/>
      <c r="G3" s="31"/>
      <c r="H3" s="31"/>
      <c r="I3" s="36" t="s">
        <v>1</v>
      </c>
      <c r="J3" s="37"/>
      <c r="K3" s="37"/>
      <c r="L3" s="19" t="s">
        <v>2</v>
      </c>
      <c r="M3" s="20" t="s">
        <v>3</v>
      </c>
      <c r="N3" s="28" t="s">
        <v>4</v>
      </c>
      <c r="O3" s="29"/>
      <c r="P3" s="29"/>
      <c r="Q3" s="29"/>
      <c r="R3" s="29"/>
      <c r="S3" s="30"/>
    </row>
    <row r="4" spans="1:19" s="6" customFormat="1" ht="55.9" customHeight="1">
      <c r="A4" s="35"/>
      <c r="B4" s="35"/>
      <c r="C4" s="26" t="s">
        <v>5</v>
      </c>
      <c r="D4" s="12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4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</row>
    <row r="5" spans="1:19" s="7" customFormat="1" ht="66" customHeight="1">
      <c r="A5" s="35"/>
      <c r="B5" s="35"/>
      <c r="C5" s="32">
        <v>7</v>
      </c>
      <c r="D5" s="21">
        <v>1</v>
      </c>
      <c r="E5" s="21">
        <v>966924</v>
      </c>
      <c r="F5" s="21">
        <v>5000</v>
      </c>
      <c r="G5" s="11" t="s">
        <v>22</v>
      </c>
      <c r="H5" s="24" t="s">
        <v>23</v>
      </c>
      <c r="I5" s="22">
        <f>F5*3</f>
        <v>15000</v>
      </c>
      <c r="J5" s="16">
        <f>F5*4.4</f>
        <v>22000</v>
      </c>
      <c r="K5" s="16">
        <f>F5*4.5</f>
        <v>22500</v>
      </c>
      <c r="L5" s="16">
        <f>F5*2.45</f>
        <v>12250</v>
      </c>
      <c r="M5" s="16">
        <f>F5*2.85</f>
        <v>14250</v>
      </c>
      <c r="N5" s="16">
        <f>MIN(I5:M5)</f>
        <v>12250</v>
      </c>
      <c r="O5" s="16">
        <f>AVERAGE(I5:M5)</f>
        <v>17200</v>
      </c>
      <c r="P5" s="17">
        <f>MEDIAN(I5:M5)</f>
        <v>15000</v>
      </c>
      <c r="Q5" s="18">
        <f>STDEV(I5:M5)/AVERAGE(I5:M5)</f>
        <v>0.2745131267050255</v>
      </c>
      <c r="R5" s="16">
        <f>S5/F5</f>
        <v>3</v>
      </c>
      <c r="S5" s="16">
        <f>P5</f>
        <v>15000</v>
      </c>
    </row>
    <row r="6" spans="1:19" s="7" customFormat="1" ht="89.25" customHeight="1">
      <c r="A6" s="35"/>
      <c r="B6" s="35"/>
      <c r="C6" s="32"/>
      <c r="D6" s="21">
        <v>2</v>
      </c>
      <c r="E6" s="21">
        <v>966959</v>
      </c>
      <c r="F6" s="21">
        <v>1500</v>
      </c>
      <c r="G6" s="11" t="s">
        <v>24</v>
      </c>
      <c r="H6" s="24" t="s">
        <v>25</v>
      </c>
      <c r="I6" s="22">
        <f>F6*3.5</f>
        <v>5250</v>
      </c>
      <c r="J6" s="16">
        <f>F6*4.9</f>
        <v>7350.000000000001</v>
      </c>
      <c r="K6" s="16">
        <f>F6*5</f>
        <v>7500</v>
      </c>
      <c r="L6" s="16">
        <f>F6*2.77</f>
        <v>4155</v>
      </c>
      <c r="M6" s="16">
        <f>F6*4.35</f>
        <v>6524.999999999999</v>
      </c>
      <c r="N6" s="16">
        <f aca="true" t="shared" si="0" ref="N6:N12">MIN(I6:M6)</f>
        <v>4155</v>
      </c>
      <c r="O6" s="16">
        <f aca="true" t="shared" si="1" ref="O6:O12">AVERAGE(I6:M6)</f>
        <v>6156</v>
      </c>
      <c r="P6" s="17">
        <f aca="true" t="shared" si="2" ref="P6:P12">MEDIAN(I6:M6)</f>
        <v>6524.999999999999</v>
      </c>
      <c r="Q6" s="18">
        <f aca="true" t="shared" si="3" ref="Q6:Q12">STDEV(I6:M6)/AVERAGE(I6:M6)</f>
        <v>0.23248346801578298</v>
      </c>
      <c r="R6" s="16">
        <f>S6/F6</f>
        <v>4.104</v>
      </c>
      <c r="S6" s="16">
        <f>O6</f>
        <v>6156</v>
      </c>
    </row>
    <row r="7" spans="1:19" s="7" customFormat="1" ht="66.75" customHeight="1">
      <c r="A7" s="35"/>
      <c r="B7" s="35"/>
      <c r="C7" s="32"/>
      <c r="D7" s="21">
        <v>3</v>
      </c>
      <c r="E7" s="21">
        <v>96172</v>
      </c>
      <c r="F7" s="21">
        <v>2000</v>
      </c>
      <c r="G7" s="11" t="s">
        <v>26</v>
      </c>
      <c r="H7" s="24" t="s">
        <v>27</v>
      </c>
      <c r="I7" s="22">
        <f>F7*7</f>
        <v>14000</v>
      </c>
      <c r="J7" s="16">
        <f>F7*5.6</f>
        <v>11200</v>
      </c>
      <c r="K7" s="16">
        <f>F7*7.6</f>
        <v>15200</v>
      </c>
      <c r="L7" s="16">
        <f>F7*7.61</f>
        <v>15220</v>
      </c>
      <c r="M7" s="16">
        <f>F7*8.08</f>
        <v>16160</v>
      </c>
      <c r="N7" s="16">
        <f t="shared" si="0"/>
        <v>11200</v>
      </c>
      <c r="O7" s="16">
        <f t="shared" si="1"/>
        <v>14356</v>
      </c>
      <c r="P7" s="17">
        <f t="shared" si="2"/>
        <v>15200</v>
      </c>
      <c r="Q7" s="18">
        <f t="shared" si="3"/>
        <v>0.1339899136991172</v>
      </c>
      <c r="R7" s="16">
        <f>S7/F7</f>
        <v>7.178</v>
      </c>
      <c r="S7" s="16">
        <f>O7</f>
        <v>14356</v>
      </c>
    </row>
    <row r="8" spans="1:19" s="7" customFormat="1" ht="80.25" customHeight="1">
      <c r="A8" s="35"/>
      <c r="B8" s="35"/>
      <c r="C8" s="32"/>
      <c r="D8" s="21">
        <v>4</v>
      </c>
      <c r="E8" s="21">
        <v>109584</v>
      </c>
      <c r="F8" s="21">
        <v>3000</v>
      </c>
      <c r="G8" s="11" t="s">
        <v>26</v>
      </c>
      <c r="H8" s="24" t="s">
        <v>28</v>
      </c>
      <c r="I8" s="22">
        <f>F8*8</f>
        <v>24000</v>
      </c>
      <c r="J8" s="16">
        <f>F8*9.9</f>
        <v>29700</v>
      </c>
      <c r="K8" s="16">
        <f>F8*10.5</f>
        <v>31500</v>
      </c>
      <c r="L8" s="16">
        <f>F8*3.4</f>
        <v>10200</v>
      </c>
      <c r="M8" s="16">
        <f>F8*11.4</f>
        <v>34200</v>
      </c>
      <c r="N8" s="16">
        <f t="shared" si="0"/>
        <v>10200</v>
      </c>
      <c r="O8" s="16">
        <f t="shared" si="1"/>
        <v>25920</v>
      </c>
      <c r="P8" s="17">
        <f t="shared" si="2"/>
        <v>29700</v>
      </c>
      <c r="Q8" s="18">
        <f t="shared" si="3"/>
        <v>0.36843024836201127</v>
      </c>
      <c r="R8" s="16">
        <f>S8/F8</f>
        <v>9.9</v>
      </c>
      <c r="S8" s="16">
        <f>P8</f>
        <v>29700</v>
      </c>
    </row>
    <row r="9" spans="1:19" s="7" customFormat="1" ht="58.5" customHeight="1">
      <c r="A9" s="35"/>
      <c r="B9" s="35"/>
      <c r="C9" s="32"/>
      <c r="D9" s="11">
        <v>5</v>
      </c>
      <c r="E9" s="21">
        <v>1716336</v>
      </c>
      <c r="F9" s="21">
        <v>2000</v>
      </c>
      <c r="G9" s="11" t="s">
        <v>29</v>
      </c>
      <c r="H9" s="24" t="s">
        <v>30</v>
      </c>
      <c r="I9" s="22">
        <f>F9*120</f>
        <v>240000</v>
      </c>
      <c r="J9" s="16">
        <f>F9*80</f>
        <v>160000</v>
      </c>
      <c r="K9" s="16">
        <f>F9*55</f>
        <v>110000</v>
      </c>
      <c r="L9" s="16">
        <f>F9*27.45</f>
        <v>54900</v>
      </c>
      <c r="M9" s="16">
        <f>F9*74.61</f>
        <v>149220</v>
      </c>
      <c r="N9" s="16">
        <f t="shared" si="0"/>
        <v>54900</v>
      </c>
      <c r="O9" s="16">
        <f t="shared" si="1"/>
        <v>142824</v>
      </c>
      <c r="P9" s="17">
        <f t="shared" si="2"/>
        <v>149220</v>
      </c>
      <c r="Q9" s="18">
        <f t="shared" si="3"/>
        <v>0.4772820908237691</v>
      </c>
      <c r="R9" s="16">
        <f aca="true" t="shared" si="4" ref="R9:R15">S9/F9</f>
        <v>74.61</v>
      </c>
      <c r="S9" s="16">
        <f aca="true" t="shared" si="5" ref="S9:S13">P9</f>
        <v>149220</v>
      </c>
    </row>
    <row r="10" spans="1:19" s="7" customFormat="1" ht="58.5" customHeight="1">
      <c r="A10" s="35"/>
      <c r="B10" s="35"/>
      <c r="C10" s="32"/>
      <c r="D10" s="11">
        <v>6</v>
      </c>
      <c r="E10" s="21">
        <v>56863</v>
      </c>
      <c r="F10" s="11">
        <v>1200</v>
      </c>
      <c r="G10" s="11" t="s">
        <v>31</v>
      </c>
      <c r="H10" s="24" t="s">
        <v>32</v>
      </c>
      <c r="I10" s="22">
        <f>F10*5</f>
        <v>6000</v>
      </c>
      <c r="J10" s="16">
        <f>F10*6.9</f>
        <v>8280</v>
      </c>
      <c r="K10" s="16">
        <f>F10*6.5</f>
        <v>7800</v>
      </c>
      <c r="L10" s="16">
        <f>F10*11.03</f>
        <v>13236</v>
      </c>
      <c r="M10" s="16">
        <f>F10*7.33</f>
        <v>8796</v>
      </c>
      <c r="N10" s="16">
        <f t="shared" si="0"/>
        <v>6000</v>
      </c>
      <c r="O10" s="16">
        <f t="shared" si="1"/>
        <v>8822.4</v>
      </c>
      <c r="P10" s="17">
        <f t="shared" si="2"/>
        <v>8280</v>
      </c>
      <c r="Q10" s="25">
        <f t="shared" si="3"/>
        <v>0.3040702593779136</v>
      </c>
      <c r="R10" s="16">
        <f t="shared" si="4"/>
        <v>6.9</v>
      </c>
      <c r="S10" s="16">
        <f t="shared" si="5"/>
        <v>8280</v>
      </c>
    </row>
    <row r="11" spans="1:19" s="7" customFormat="1" ht="58.5" customHeight="1">
      <c r="A11" s="35"/>
      <c r="B11" s="35"/>
      <c r="C11" s="32"/>
      <c r="D11" s="11">
        <v>7</v>
      </c>
      <c r="E11" s="21">
        <v>199427</v>
      </c>
      <c r="F11" s="11">
        <v>1200</v>
      </c>
      <c r="G11" s="11" t="s">
        <v>31</v>
      </c>
      <c r="H11" s="24" t="s">
        <v>33</v>
      </c>
      <c r="I11" s="22">
        <f>F11*5</f>
        <v>6000</v>
      </c>
      <c r="J11" s="16">
        <f>F11*17</f>
        <v>20400</v>
      </c>
      <c r="K11" s="16" t="s">
        <v>34</v>
      </c>
      <c r="L11" s="16">
        <f>F11*6.6</f>
        <v>7920</v>
      </c>
      <c r="M11" s="16">
        <f>F11*15.75</f>
        <v>18900</v>
      </c>
      <c r="N11" s="16">
        <f t="shared" si="0"/>
        <v>6000</v>
      </c>
      <c r="O11" s="16">
        <f t="shared" si="1"/>
        <v>13305</v>
      </c>
      <c r="P11" s="17">
        <f t="shared" si="2"/>
        <v>13410</v>
      </c>
      <c r="Q11" s="18">
        <f t="shared" si="3"/>
        <v>0.5557149893365891</v>
      </c>
      <c r="R11" s="16">
        <f t="shared" si="4"/>
        <v>11.175</v>
      </c>
      <c r="S11" s="16">
        <f t="shared" si="5"/>
        <v>13410</v>
      </c>
    </row>
    <row r="12" spans="1:19" s="7" customFormat="1" ht="58.5" customHeight="1">
      <c r="A12" s="35"/>
      <c r="B12" s="35"/>
      <c r="C12" s="32"/>
      <c r="D12" s="11">
        <v>8</v>
      </c>
      <c r="E12" s="21">
        <v>1811843</v>
      </c>
      <c r="F12" s="11">
        <v>200</v>
      </c>
      <c r="G12" s="11" t="s">
        <v>35</v>
      </c>
      <c r="H12" s="24" t="s">
        <v>36</v>
      </c>
      <c r="I12" s="22">
        <f>F12*2</f>
        <v>400</v>
      </c>
      <c r="J12" s="16">
        <f>F12*9.9</f>
        <v>1980</v>
      </c>
      <c r="K12" s="16">
        <f>F12*5.5</f>
        <v>1100</v>
      </c>
      <c r="L12" s="16">
        <f>F12*5.22</f>
        <v>1044</v>
      </c>
      <c r="M12" s="16">
        <f>F12*4.34</f>
        <v>868</v>
      </c>
      <c r="N12" s="16">
        <f t="shared" si="0"/>
        <v>400</v>
      </c>
      <c r="O12" s="16">
        <f t="shared" si="1"/>
        <v>1078.4</v>
      </c>
      <c r="P12" s="17">
        <f t="shared" si="2"/>
        <v>1044</v>
      </c>
      <c r="Q12" s="18">
        <f t="shared" si="3"/>
        <v>0.5324967982285201</v>
      </c>
      <c r="R12" s="16">
        <f t="shared" si="4"/>
        <v>5.22</v>
      </c>
      <c r="S12" s="16">
        <f t="shared" si="5"/>
        <v>1044</v>
      </c>
    </row>
    <row r="13" spans="1:19" s="7" customFormat="1" ht="80.25" customHeight="1">
      <c r="A13" s="35"/>
      <c r="B13" s="35"/>
      <c r="C13" s="32"/>
      <c r="D13" s="11">
        <v>9</v>
      </c>
      <c r="E13" s="21">
        <v>221414</v>
      </c>
      <c r="F13" s="11">
        <v>200</v>
      </c>
      <c r="G13" s="11" t="s">
        <v>35</v>
      </c>
      <c r="H13" s="24" t="s">
        <v>37</v>
      </c>
      <c r="I13" s="22">
        <f>F13*37</f>
        <v>7400</v>
      </c>
      <c r="J13" s="16">
        <f>F13*9.9</f>
        <v>1980</v>
      </c>
      <c r="K13" s="16">
        <f>F13*6</f>
        <v>1200</v>
      </c>
      <c r="L13" s="16">
        <f>F13*14.53</f>
        <v>2906</v>
      </c>
      <c r="M13" s="16">
        <f>F13*7.67</f>
        <v>1534</v>
      </c>
      <c r="N13" s="16">
        <f>MIN(I13:M13)</f>
        <v>1200</v>
      </c>
      <c r="O13" s="16">
        <f>AVERAGE(I13:M13)</f>
        <v>3004</v>
      </c>
      <c r="P13" s="17">
        <f>MEDIAN(I13:M13)</f>
        <v>1980</v>
      </c>
      <c r="Q13" s="18">
        <f>STDEV(I13:M13)/AVERAGE(I13:M13)</f>
        <v>0.8454067700773048</v>
      </c>
      <c r="R13" s="16">
        <f t="shared" si="4"/>
        <v>9.9</v>
      </c>
      <c r="S13" s="16">
        <f t="shared" si="5"/>
        <v>1980</v>
      </c>
    </row>
    <row r="14" spans="1:19" s="7" customFormat="1" ht="155.25" customHeight="1">
      <c r="A14" s="35"/>
      <c r="B14" s="35"/>
      <c r="C14" s="32"/>
      <c r="D14" s="11">
        <v>10</v>
      </c>
      <c r="E14" s="21">
        <v>1349902</v>
      </c>
      <c r="F14" s="11">
        <v>2000</v>
      </c>
      <c r="G14" s="11" t="s">
        <v>38</v>
      </c>
      <c r="H14" s="24" t="s">
        <v>39</v>
      </c>
      <c r="I14" s="22">
        <f>F14*28</f>
        <v>56000</v>
      </c>
      <c r="J14" s="16">
        <f>F14*21.1</f>
        <v>42200</v>
      </c>
      <c r="K14" s="16">
        <f>F14*24.5</f>
        <v>49000</v>
      </c>
      <c r="L14" s="16">
        <v>0</v>
      </c>
      <c r="M14" s="16">
        <f>F14*20.7</f>
        <v>41400</v>
      </c>
      <c r="N14" s="16">
        <f aca="true" t="shared" si="6" ref="N14:N17">MIN(I14:M14)</f>
        <v>0</v>
      </c>
      <c r="O14" s="16">
        <f aca="true" t="shared" si="7" ref="O14:O17">AVERAGE(I14:M14)</f>
        <v>37720</v>
      </c>
      <c r="P14" s="17">
        <f aca="true" t="shared" si="8" ref="P14:P17">MEDIAN(I14:M14)</f>
        <v>42200</v>
      </c>
      <c r="Q14" s="18">
        <f aca="true" t="shared" si="9" ref="Q14:Q17">STDEV(I14:M14)/AVERAGE(I14:M14)</f>
        <v>0.5804982077657046</v>
      </c>
      <c r="R14" s="16">
        <f t="shared" si="4"/>
        <v>18.86</v>
      </c>
      <c r="S14" s="16">
        <f>O14</f>
        <v>37720</v>
      </c>
    </row>
    <row r="15" spans="1:19" s="7" customFormat="1" ht="58.5" customHeight="1">
      <c r="A15" s="35"/>
      <c r="B15" s="35"/>
      <c r="C15" s="32"/>
      <c r="D15" s="11">
        <v>11</v>
      </c>
      <c r="E15" s="21">
        <v>970450</v>
      </c>
      <c r="F15" s="11">
        <v>1500</v>
      </c>
      <c r="G15" s="11" t="s">
        <v>29</v>
      </c>
      <c r="H15" s="24" t="s">
        <v>40</v>
      </c>
      <c r="I15" s="22">
        <f>F15*5</f>
        <v>7500</v>
      </c>
      <c r="J15" s="16">
        <f>F15*3.6</f>
        <v>5400</v>
      </c>
      <c r="K15" s="16">
        <f>F15*3.5</f>
        <v>5250</v>
      </c>
      <c r="L15" s="16">
        <f>F15*2.45</f>
        <v>3675.0000000000005</v>
      </c>
      <c r="M15" s="16">
        <f>F15*6.9</f>
        <v>10350</v>
      </c>
      <c r="N15" s="16">
        <f t="shared" si="6"/>
        <v>3675.0000000000005</v>
      </c>
      <c r="O15" s="16">
        <f t="shared" si="7"/>
        <v>6435</v>
      </c>
      <c r="P15" s="17">
        <f t="shared" si="8"/>
        <v>5400</v>
      </c>
      <c r="Q15" s="18">
        <f t="shared" si="9"/>
        <v>0.4003967256858072</v>
      </c>
      <c r="R15" s="16">
        <f t="shared" si="4"/>
        <v>3.6</v>
      </c>
      <c r="S15" s="16">
        <f>P15</f>
        <v>5400</v>
      </c>
    </row>
    <row r="16" spans="1:19" s="7" customFormat="1" ht="58.5" customHeight="1">
      <c r="A16" s="35"/>
      <c r="B16" s="35"/>
      <c r="C16" s="32"/>
      <c r="D16" s="11">
        <v>12</v>
      </c>
      <c r="E16" s="21">
        <v>994243</v>
      </c>
      <c r="F16" s="11">
        <v>800</v>
      </c>
      <c r="G16" s="11" t="s">
        <v>29</v>
      </c>
      <c r="H16" s="24" t="s">
        <v>41</v>
      </c>
      <c r="I16" s="22">
        <f>F16*130</f>
        <v>104000</v>
      </c>
      <c r="J16" s="16">
        <f>F16*88.6</f>
        <v>70880</v>
      </c>
      <c r="K16" s="16">
        <f>F16*96</f>
        <v>76800</v>
      </c>
      <c r="L16" s="16">
        <f>F16*83.1</f>
        <v>66480</v>
      </c>
      <c r="M16" s="16">
        <f>F16*51.41</f>
        <v>41128</v>
      </c>
      <c r="N16" s="16">
        <f t="shared" si="6"/>
        <v>41128</v>
      </c>
      <c r="O16" s="16">
        <f t="shared" si="7"/>
        <v>71857.6</v>
      </c>
      <c r="P16" s="17">
        <f t="shared" si="8"/>
        <v>70880</v>
      </c>
      <c r="Q16" s="18">
        <f t="shared" si="9"/>
        <v>0.31364023274011815</v>
      </c>
      <c r="R16" s="16">
        <f aca="true" t="shared" si="10" ref="R16:R19">S16/F16</f>
        <v>88.6</v>
      </c>
      <c r="S16" s="16">
        <f aca="true" t="shared" si="11" ref="S16:S18">P16</f>
        <v>70880</v>
      </c>
    </row>
    <row r="17" spans="1:19" s="7" customFormat="1" ht="58.5" customHeight="1">
      <c r="A17" s="35"/>
      <c r="B17" s="35"/>
      <c r="C17" s="32"/>
      <c r="D17" s="15">
        <v>13</v>
      </c>
      <c r="E17" s="21">
        <v>1686917</v>
      </c>
      <c r="F17" s="11">
        <v>4000</v>
      </c>
      <c r="G17" s="11" t="s">
        <v>42</v>
      </c>
      <c r="H17" s="24" t="s">
        <v>43</v>
      </c>
      <c r="I17" s="22">
        <f>F17*3</f>
        <v>12000</v>
      </c>
      <c r="J17" s="16">
        <f>F17*4.4</f>
        <v>17600</v>
      </c>
      <c r="K17" s="16">
        <f>F17*2.6</f>
        <v>10400</v>
      </c>
      <c r="L17" s="16">
        <f>F17*1.83</f>
        <v>7320</v>
      </c>
      <c r="M17" s="16">
        <f>F17*3.99</f>
        <v>15960</v>
      </c>
      <c r="N17" s="16">
        <f t="shared" si="6"/>
        <v>7320</v>
      </c>
      <c r="O17" s="16">
        <f t="shared" si="7"/>
        <v>12656</v>
      </c>
      <c r="P17" s="17">
        <f t="shared" si="8"/>
        <v>12000</v>
      </c>
      <c r="Q17" s="18">
        <f t="shared" si="9"/>
        <v>0.3290061643598473</v>
      </c>
      <c r="R17" s="16">
        <f t="shared" si="10"/>
        <v>3</v>
      </c>
      <c r="S17" s="16">
        <f t="shared" si="11"/>
        <v>12000</v>
      </c>
    </row>
    <row r="18" spans="1:19" s="7" customFormat="1" ht="100.5" customHeight="1">
      <c r="A18" s="35"/>
      <c r="B18" s="35"/>
      <c r="C18" s="32"/>
      <c r="D18" s="15">
        <v>14</v>
      </c>
      <c r="E18" s="21">
        <v>1153641</v>
      </c>
      <c r="F18" s="11">
        <v>4000</v>
      </c>
      <c r="G18" s="11" t="s">
        <v>29</v>
      </c>
      <c r="H18" s="24" t="s">
        <v>44</v>
      </c>
      <c r="I18" s="22">
        <f>F18*9</f>
        <v>36000</v>
      </c>
      <c r="J18" s="16">
        <f>F18*4.1</f>
        <v>16400</v>
      </c>
      <c r="K18" s="16">
        <f>F18*2.4</f>
        <v>9600</v>
      </c>
      <c r="L18" s="16">
        <f>F18*1.12</f>
        <v>4480</v>
      </c>
      <c r="M18" s="16">
        <f>F18*2.05</f>
        <v>8200</v>
      </c>
      <c r="N18" s="16">
        <f>MIN(I18:M18)</f>
        <v>4480</v>
      </c>
      <c r="O18" s="16">
        <f>AVERAGE(I18:M18)</f>
        <v>14936</v>
      </c>
      <c r="P18" s="17">
        <f>MEDIAN(I18:M18)</f>
        <v>9600</v>
      </c>
      <c r="Q18" s="18">
        <f>STDEV(I18:M18)/AVERAGE(I18:M18)</f>
        <v>0.8395845666624403</v>
      </c>
      <c r="R18" s="16">
        <f t="shared" si="10"/>
        <v>2.4</v>
      </c>
      <c r="S18" s="16">
        <f t="shared" si="11"/>
        <v>9600</v>
      </c>
    </row>
    <row r="19" spans="1:19" s="7" customFormat="1" ht="58.5" customHeight="1">
      <c r="A19" s="35"/>
      <c r="B19" s="35"/>
      <c r="C19" s="32"/>
      <c r="D19" s="15">
        <v>15</v>
      </c>
      <c r="E19" s="21">
        <v>1212656</v>
      </c>
      <c r="F19" s="11">
        <v>100</v>
      </c>
      <c r="G19" s="11" t="s">
        <v>29</v>
      </c>
      <c r="H19" s="24" t="s">
        <v>45</v>
      </c>
      <c r="I19" s="22" t="s">
        <v>34</v>
      </c>
      <c r="J19" s="16">
        <f>F19*14.15</f>
        <v>1415</v>
      </c>
      <c r="K19" s="16">
        <f>F19*15</f>
        <v>1500</v>
      </c>
      <c r="L19" s="16">
        <f>F19*11.79</f>
        <v>1179</v>
      </c>
      <c r="M19" s="16" t="s">
        <v>46</v>
      </c>
      <c r="N19" s="16">
        <f aca="true" t="shared" si="12" ref="N19:N23">MIN(I19:M19)</f>
        <v>1179</v>
      </c>
      <c r="O19" s="16">
        <f aca="true" t="shared" si="13" ref="O19:O23">AVERAGE(I19:M19)</f>
        <v>1364.6666666666667</v>
      </c>
      <c r="P19" s="17">
        <f aca="true" t="shared" si="14" ref="P19:P23">MEDIAN(I19:M19)</f>
        <v>1415</v>
      </c>
      <c r="Q19" s="18">
        <f aca="true" t="shared" si="15" ref="Q19:Q23">STDEV(I19:M19)/AVERAGE(I19:M19)</f>
        <v>0.12187149007886561</v>
      </c>
      <c r="R19" s="16">
        <f t="shared" si="10"/>
        <v>13.646666666666668</v>
      </c>
      <c r="S19" s="16">
        <f>O19</f>
        <v>1364.6666666666667</v>
      </c>
    </row>
    <row r="20" spans="1:19" s="7" customFormat="1" ht="58.5" customHeight="1">
      <c r="A20" s="35"/>
      <c r="B20" s="35"/>
      <c r="C20" s="32"/>
      <c r="D20" s="15">
        <v>16</v>
      </c>
      <c r="E20" s="21">
        <v>966983</v>
      </c>
      <c r="F20" s="11">
        <v>1500</v>
      </c>
      <c r="G20" s="11" t="s">
        <v>47</v>
      </c>
      <c r="H20" s="24" t="s">
        <v>48</v>
      </c>
      <c r="I20" s="22">
        <f>F20*4</f>
        <v>6000</v>
      </c>
      <c r="J20" s="16">
        <f>F20*3.9</f>
        <v>5850</v>
      </c>
      <c r="K20" s="16">
        <f>F20*4.3</f>
        <v>6450</v>
      </c>
      <c r="L20" s="16">
        <f>F20*3.18</f>
        <v>4770</v>
      </c>
      <c r="M20" s="16">
        <f>F20*2.75</f>
        <v>4125</v>
      </c>
      <c r="N20" s="16">
        <f t="shared" si="12"/>
        <v>4125</v>
      </c>
      <c r="O20" s="16">
        <f t="shared" si="13"/>
        <v>5439</v>
      </c>
      <c r="P20" s="17">
        <f t="shared" si="14"/>
        <v>5850</v>
      </c>
      <c r="Q20" s="18">
        <f t="shared" si="15"/>
        <v>0.17634783579429655</v>
      </c>
      <c r="R20" s="16">
        <f aca="true" t="shared" si="16" ref="R20:R22">S20/F20</f>
        <v>3.626</v>
      </c>
      <c r="S20" s="16">
        <f aca="true" t="shared" si="17" ref="S20:S21">O20</f>
        <v>5439</v>
      </c>
    </row>
    <row r="21" spans="1:19" s="7" customFormat="1" ht="58.5" customHeight="1">
      <c r="A21" s="35"/>
      <c r="B21" s="35"/>
      <c r="C21" s="32"/>
      <c r="D21" s="15">
        <v>17</v>
      </c>
      <c r="E21" s="21">
        <v>1042742</v>
      </c>
      <c r="F21" s="11">
        <v>100</v>
      </c>
      <c r="G21" s="11" t="s">
        <v>29</v>
      </c>
      <c r="H21" s="24" t="s">
        <v>49</v>
      </c>
      <c r="I21" s="22">
        <f>F21*18</f>
        <v>1800</v>
      </c>
      <c r="J21" s="16">
        <f>F21*16.1</f>
        <v>1610.0000000000002</v>
      </c>
      <c r="K21" s="16">
        <f>F21*16.3</f>
        <v>1630</v>
      </c>
      <c r="L21" s="16">
        <f>F21*11.63</f>
        <v>1163</v>
      </c>
      <c r="M21" s="16">
        <f>F21*16.1</f>
        <v>1610.0000000000002</v>
      </c>
      <c r="N21" s="16">
        <f t="shared" si="12"/>
        <v>1163</v>
      </c>
      <c r="O21" s="16">
        <f t="shared" si="13"/>
        <v>1562.6</v>
      </c>
      <c r="P21" s="17">
        <f t="shared" si="14"/>
        <v>1610.0000000000002</v>
      </c>
      <c r="Q21" s="18">
        <f t="shared" si="15"/>
        <v>0.15180497573375012</v>
      </c>
      <c r="R21" s="16">
        <f t="shared" si="16"/>
        <v>15.626</v>
      </c>
      <c r="S21" s="16">
        <f t="shared" si="17"/>
        <v>1562.6</v>
      </c>
    </row>
    <row r="22" spans="1:19" s="7" customFormat="1" ht="58.5" customHeight="1">
      <c r="A22" s="35"/>
      <c r="B22" s="35"/>
      <c r="C22" s="32"/>
      <c r="D22" s="15">
        <v>18</v>
      </c>
      <c r="E22" s="21">
        <v>82716</v>
      </c>
      <c r="F22" s="11">
        <v>1500</v>
      </c>
      <c r="G22" s="11" t="s">
        <v>29</v>
      </c>
      <c r="H22" s="24" t="s">
        <v>50</v>
      </c>
      <c r="I22" s="22">
        <f>F22*15</f>
        <v>22500</v>
      </c>
      <c r="J22" s="16">
        <f>F22*6.9</f>
        <v>10350</v>
      </c>
      <c r="K22" s="16">
        <f>F22*8.2</f>
        <v>12299.999999999998</v>
      </c>
      <c r="L22" s="16">
        <f>F22*10.36</f>
        <v>15540</v>
      </c>
      <c r="M22" s="16">
        <f>F22*9.5</f>
        <v>14250</v>
      </c>
      <c r="N22" s="16">
        <f t="shared" si="12"/>
        <v>10350</v>
      </c>
      <c r="O22" s="16">
        <f t="shared" si="13"/>
        <v>14988</v>
      </c>
      <c r="P22" s="17">
        <f t="shared" si="14"/>
        <v>14250</v>
      </c>
      <c r="Q22" s="18">
        <f t="shared" si="15"/>
        <v>0.3093966722776343</v>
      </c>
      <c r="R22" s="16">
        <f t="shared" si="16"/>
        <v>9.5</v>
      </c>
      <c r="S22" s="16">
        <f>P22</f>
        <v>14250</v>
      </c>
    </row>
    <row r="23" spans="1:19" s="7" customFormat="1" ht="106.5" customHeight="1">
      <c r="A23" s="35"/>
      <c r="B23" s="35"/>
      <c r="C23" s="32"/>
      <c r="D23" s="15">
        <v>19</v>
      </c>
      <c r="E23" s="21">
        <v>867039</v>
      </c>
      <c r="F23" s="11">
        <v>3000</v>
      </c>
      <c r="G23" s="11" t="s">
        <v>29</v>
      </c>
      <c r="H23" s="24" t="s">
        <v>51</v>
      </c>
      <c r="I23" s="22">
        <f>F23*10</f>
        <v>30000</v>
      </c>
      <c r="J23" s="16">
        <f>F23*5.5</f>
        <v>16500</v>
      </c>
      <c r="K23" s="16">
        <f>F23*3.5</f>
        <v>10500</v>
      </c>
      <c r="L23" s="16">
        <f>F23*1.93</f>
        <v>5790</v>
      </c>
      <c r="M23" s="16">
        <f>F23*2.65</f>
        <v>7950</v>
      </c>
      <c r="N23" s="16">
        <f t="shared" si="12"/>
        <v>5790</v>
      </c>
      <c r="O23" s="16">
        <f t="shared" si="13"/>
        <v>14148</v>
      </c>
      <c r="P23" s="17">
        <f t="shared" si="14"/>
        <v>10500</v>
      </c>
      <c r="Q23" s="18">
        <f t="shared" si="15"/>
        <v>0.6874622282485042</v>
      </c>
      <c r="R23" s="16">
        <f aca="true" t="shared" si="18" ref="R23:R24">S23/F23</f>
        <v>3.5</v>
      </c>
      <c r="S23" s="16">
        <f>P23</f>
        <v>10500</v>
      </c>
    </row>
    <row r="24" spans="1:19" s="7" customFormat="1" ht="58.5" customHeight="1">
      <c r="A24" s="35"/>
      <c r="B24" s="35"/>
      <c r="C24" s="32"/>
      <c r="D24" s="15">
        <v>20</v>
      </c>
      <c r="E24" s="21">
        <v>971839</v>
      </c>
      <c r="F24" s="11">
        <v>1200</v>
      </c>
      <c r="G24" s="11" t="s">
        <v>29</v>
      </c>
      <c r="H24" s="24" t="s">
        <v>52</v>
      </c>
      <c r="I24" s="22">
        <f>F24*2</f>
        <v>2400</v>
      </c>
      <c r="J24" s="16">
        <f>F24*2.9</f>
        <v>3480</v>
      </c>
      <c r="K24" s="16">
        <f>F24*2.2</f>
        <v>2640</v>
      </c>
      <c r="L24" s="16">
        <f>F24*2.19</f>
        <v>2628</v>
      </c>
      <c r="M24" s="16">
        <f>F24*1.89</f>
        <v>2268</v>
      </c>
      <c r="N24" s="16">
        <f>MIN(I24:M24)</f>
        <v>2268</v>
      </c>
      <c r="O24" s="16">
        <f>AVERAGE(I24:M24)</f>
        <v>2683.2</v>
      </c>
      <c r="P24" s="17">
        <f>MEDIAN(I24:M24)</f>
        <v>2628</v>
      </c>
      <c r="Q24" s="18">
        <f>STDEV(I24:M24)/AVERAGE(I24:M24)</f>
        <v>0.17603375830604467</v>
      </c>
      <c r="R24" s="16">
        <f t="shared" si="18"/>
        <v>2.2359999999999998</v>
      </c>
      <c r="S24" s="16">
        <f>O24</f>
        <v>2683.2</v>
      </c>
    </row>
    <row r="25" spans="1:19" s="7" customFormat="1" ht="83.25" customHeight="1">
      <c r="A25" s="35"/>
      <c r="B25" s="35"/>
      <c r="C25" s="32"/>
      <c r="D25" s="15">
        <v>21</v>
      </c>
      <c r="E25" s="21">
        <v>966738</v>
      </c>
      <c r="F25" s="11">
        <v>200</v>
      </c>
      <c r="G25" s="11" t="s">
        <v>29</v>
      </c>
      <c r="H25" s="24" t="s">
        <v>53</v>
      </c>
      <c r="I25" s="22">
        <f>F25*28</f>
        <v>5600</v>
      </c>
      <c r="J25" s="16">
        <f>F25*17.1</f>
        <v>3420.0000000000005</v>
      </c>
      <c r="K25" s="16">
        <f>F25*19.4</f>
        <v>3879.9999999999995</v>
      </c>
      <c r="L25" s="16">
        <f>F25*30.69</f>
        <v>6138</v>
      </c>
      <c r="M25" s="16">
        <f>F25*22.1</f>
        <v>4420</v>
      </c>
      <c r="N25" s="16">
        <f aca="true" t="shared" si="19" ref="N25">MIN(I25:M25)</f>
        <v>3420.0000000000005</v>
      </c>
      <c r="O25" s="16">
        <f aca="true" t="shared" si="20" ref="O25">AVERAGE(I25:M25)</f>
        <v>4691.6</v>
      </c>
      <c r="P25" s="17">
        <f aca="true" t="shared" si="21" ref="P25">MEDIAN(I25:M25)</f>
        <v>4420</v>
      </c>
      <c r="Q25" s="18">
        <f aca="true" t="shared" si="22" ref="Q25">STDEV(I25:M25)/AVERAGE(I25:M25)</f>
        <v>0.24457831822152348</v>
      </c>
      <c r="R25" s="16">
        <f aca="true" t="shared" si="23" ref="R25">S25/F25</f>
        <v>23.458000000000002</v>
      </c>
      <c r="S25" s="16">
        <f>O25</f>
        <v>4691.6</v>
      </c>
    </row>
  </sheetData>
  <sheetProtection selectLockedCells="1" selectUnlockedCells="1"/>
  <mergeCells count="7">
    <mergeCell ref="A1:B25"/>
    <mergeCell ref="I3:K3"/>
    <mergeCell ref="C1:S1"/>
    <mergeCell ref="N3:S3"/>
    <mergeCell ref="C3:H3"/>
    <mergeCell ref="C5:C25"/>
    <mergeCell ref="C2:S2"/>
  </mergeCells>
  <printOptions horizontalCentered="1"/>
  <pageMargins left="0.20069444444444445" right="0" top="0.15763888888888888" bottom="0.2361111111111111" header="0.5118055555555555" footer="0.11805555555555555"/>
  <pageSetup horizontalDpi="300" verticalDpi="300" orientation="landscape" paperSize="9" scale="85" r:id="rId2"/>
  <headerFooter alignWithMargins="0">
    <oddFooter>&amp;L&amp;4DMAP1.XLS&amp;C&amp;4MP/PGJ&amp;R&amp;4SPC/DPLI/AGO/99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OutlineSymbols="0" zoomScaleSheetLayoutView="100" workbookViewId="0" topLeftCell="A1"/>
  </sheetViews>
  <sheetFormatPr defaultColWidth="11.2812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OutlineSymbols="0" zoomScaleSheetLayoutView="100" workbookViewId="0" topLeftCell="A1"/>
  </sheetViews>
  <sheetFormatPr defaultColWidth="11.2812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OutlineSymbols="0" zoomScaleSheetLayoutView="100" workbookViewId="0" topLeftCell="A1"/>
  </sheetViews>
  <sheetFormatPr defaultColWidth="11.2812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OutlineSymbols="0" zoomScaleSheetLayoutView="100" workbookViewId="0" topLeftCell="A1"/>
  </sheetViews>
  <sheetFormatPr defaultColWidth="11.2812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OutlineSymbols="0" zoomScaleSheetLayoutView="100" workbookViewId="0" topLeftCell="A1"/>
  </sheetViews>
  <sheetFormatPr defaultColWidth="11.2812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OutlineSymbols="0" zoomScaleSheetLayoutView="100" workbookViewId="0" topLeftCell="A1"/>
  </sheetViews>
  <sheetFormatPr defaultColWidth="11.2812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OutlineSymbols="0" zoomScaleSheetLayoutView="100" workbookViewId="0" topLeftCell="A1"/>
  </sheetViews>
  <sheetFormatPr defaultColWidth="11.2812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OutlineSymbols="0" zoomScaleSheetLayoutView="100" workbookViewId="0" topLeftCell="A1"/>
  </sheetViews>
  <sheetFormatPr defaultColWidth="11.2812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OutlineSymbols="0" zoomScaleSheetLayoutView="100" workbookViewId="0" topLeftCell="A1"/>
  </sheetViews>
  <sheetFormatPr defaultColWidth="11.2812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OutlineSymbols="0" zoomScaleSheetLayoutView="100" workbookViewId="0" topLeftCell="A1"/>
  </sheetViews>
  <sheetFormatPr defaultColWidth="11.2812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OutlineSymbols="0" zoomScaleSheetLayoutView="100" workbookViewId="0" topLeftCell="A1"/>
  </sheetViews>
  <sheetFormatPr defaultColWidth="11.2812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OutlineSymbols="0" zoomScaleSheetLayoutView="100" workbookViewId="0" topLeftCell="A1"/>
  </sheetViews>
  <sheetFormatPr defaultColWidth="11.2812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OutlineSymbols="0" zoomScaleSheetLayoutView="100" workbookViewId="0" topLeftCell="A1"/>
  </sheetViews>
  <sheetFormatPr defaultColWidth="11.2812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OutlineSymbols="0" zoomScaleSheetLayoutView="100" workbookViewId="0" topLeftCell="A1"/>
  </sheetViews>
  <sheetFormatPr defaultColWidth="11.2812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OutlineSymbols="0" zoomScaleSheetLayoutView="100" workbookViewId="0" topLeftCell="A1"/>
  </sheetViews>
  <sheetFormatPr defaultColWidth="11.2812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66810F3571A045AFE15E5668B16395" ma:contentTypeVersion="12" ma:contentTypeDescription="Crie um novo documento." ma:contentTypeScope="" ma:versionID="92a54f8bdf2613f29ed5dfe1735421eb">
  <xsd:schema xmlns:xsd="http://www.w3.org/2001/XMLSchema" xmlns:xs="http://www.w3.org/2001/XMLSchema" xmlns:p="http://schemas.microsoft.com/office/2006/metadata/properties" xmlns:ns2="1eb315a1-fd1d-4c46-bc29-5324cfd31550" xmlns:ns3="040f40de-0951-4de2-aa99-b1ea904a966c" targetNamespace="http://schemas.microsoft.com/office/2006/metadata/properties" ma:root="true" ma:fieldsID="4867d88ea3bfcdac79e0acfb0c6c4797" ns2:_="" ns3:_="">
    <xsd:import namespace="1eb315a1-fd1d-4c46-bc29-5324cfd31550"/>
    <xsd:import namespace="040f40de-0951-4de2-aa99-b1ea904a96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315a1-fd1d-4c46-bc29-5324cfd31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f40de-0951-4de2-aa99-b1ea904a96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eb315a1-fd1d-4c46-bc29-5324cfd3155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95BF4A-7A58-4EC9-A10D-579448EA4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315a1-fd1d-4c46-bc29-5324cfd31550"/>
    <ds:schemaRef ds:uri="040f40de-0951-4de2-aa99-b1ea904a96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A11C04-CB70-4466-915C-D3FAF4D21B4D}">
  <ds:schemaRefs>
    <ds:schemaRef ds:uri="http://schemas.microsoft.com/office/2006/metadata/properties"/>
    <ds:schemaRef ds:uri="http://schemas.microsoft.com/office/infopath/2007/PartnerControls"/>
    <ds:schemaRef ds:uri="1eb315a1-fd1d-4c46-bc29-5324cfd31550"/>
  </ds:schemaRefs>
</ds:datastoreItem>
</file>

<file path=customXml/itemProps3.xml><?xml version="1.0" encoding="utf-8"?>
<ds:datastoreItem xmlns:ds="http://schemas.openxmlformats.org/officeDocument/2006/customXml" ds:itemID="{FD01894F-4598-43A2-BA15-BDB9C0F790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Maria Lessa da Costa</dc:creator>
  <cp:keywords/>
  <dc:description/>
  <cp:lastModifiedBy>Simone de Oliveira Capanema</cp:lastModifiedBy>
  <dcterms:created xsi:type="dcterms:W3CDTF">2018-03-23T12:39:52Z</dcterms:created>
  <dcterms:modified xsi:type="dcterms:W3CDTF">2022-06-24T11:40:32Z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0x0101005766810F3571A045AFE15E5668B16395</vt:lpwstr>
  </property>
</Properties>
</file>