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1335" yWindow="1140" windowWidth="15225" windowHeight="14700" tabRatio="310" firstSheet="1" activeTab="1"/>
  </bookViews>
  <sheets>
    <sheet name="Lotes 1 e 2" sheetId="1" r:id="rId1"/>
    <sheet name="Lote 1"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<sst xmlns="http://schemas.openxmlformats.org/spreadsheetml/2006/main" count="293" uniqueCount="113">
  <si>
    <t>MAPA COMPARATIVO DE PREÇOS</t>
  </si>
  <si>
    <t xml:space="preserve">PROCESSO SEI: 19.16.3900.0049381/2022-54   </t>
  </si>
  <si>
    <t>OBJETO: REGISTRO DE PREÇOS PARA AQUISIÇÃO DE COMPUTADORES COM MONITOR, NOTEBOOKS, SERVIDORES E PERIFÉRICOS.</t>
  </si>
  <si>
    <t>DATA DA CONCLUSÃO: 16/05/2022</t>
  </si>
  <si>
    <t>TOTAL ESTIMADO DO PROCESSO:</t>
  </si>
  <si>
    <t xml:space="preserve">LOTE 1 </t>
  </si>
  <si>
    <t>ITEM</t>
  </si>
  <si>
    <t>QUANT.</t>
  </si>
  <si>
    <t>UNIDADE</t>
  </si>
  <si>
    <t>DESCRIÇÃO RESUMIDA DO ITEM</t>
  </si>
  <si>
    <t>CÓDIGO SIAD</t>
  </si>
  <si>
    <t xml:space="preserve"> ORÇAMENTOS DE FORNECEDORES</t>
  </si>
  <si>
    <t>PREÇO UNITÁRIO</t>
  </si>
  <si>
    <t>COEFICIENTE DE VARIAÇÃO</t>
  </si>
  <si>
    <t>PREÇO DE REFERÊNCIA (ITEM)</t>
  </si>
  <si>
    <t>CLICK TI</t>
  </si>
  <si>
    <t>DRIVE A</t>
  </si>
  <si>
    <t>LÍDER NOTEBOOK</t>
  </si>
  <si>
    <t>PERFILCOMP</t>
  </si>
  <si>
    <t>ELETRA</t>
  </si>
  <si>
    <t>MENOR</t>
  </si>
  <si>
    <t>MÉDIA</t>
  </si>
  <si>
    <t>MEDIANA</t>
  </si>
  <si>
    <t xml:space="preserve">UNITÁRIO </t>
  </si>
  <si>
    <t>TOTAL</t>
  </si>
  <si>
    <t>UNID</t>
  </si>
  <si>
    <t>Computador usuário - COMPUTADOR - MODELO: INTERMEDIARIO; SOFTWARE: WINDOWS 10 PROFESSIONAL 64 BITS OEM /PRE-INSTALADO; MEMORIA: 16 GB/SDRAM DDR4/2666 MHZ; PROCESSADOR: CLOCK 3.10 GHZ; DISCO RIGIDO: 256 GB DO TIPO SSD M.2 PCLE NVME; MONITOR: MINIMO 23,8 POLEGADAS DO TIPO MULTIMÍDIA; RESOLUCAO DE IMAGEM: 1920x1080 OU SUPERIOR;</t>
  </si>
  <si>
    <t>Cabos conversores para VGA - ADAPTADOR/CONVERSOR - CONECTOR (1): DISPLAY PORT X VGA (DB15); CONECTOR (2): 01 DISPLAY PORT (MACHO) X 01 VGA (FÊMEA);</t>
  </si>
  <si>
    <t xml:space="preserve">Memórias Avulsas - MEMORIA RAM - TIPO: DDR4 PARA DESKTOP; CAPACIDADE ARMAZENAMENTO: 16GB; FREQUENCIA DA MEMORIA: 2667 MHZ; TENSAO: 1,2V; </t>
  </si>
  <si>
    <t>PREÇO DE REFERÊNCIA TOTAL LOTE 1:</t>
  </si>
  <si>
    <t xml:space="preserve">LOTE 2 </t>
  </si>
  <si>
    <t xml:space="preserve">MÉDIA </t>
  </si>
  <si>
    <t>UNITÁRIO</t>
  </si>
  <si>
    <t xml:space="preserve">Computador avançado - MODELO: AVANCADO; SOFTWARE: WINDOWS 10 PROFESSIONAL 64 BITS OEM /PRE-INSTALADO; MEMORIA: 64 GB/SDRAM DDR4/2933 MHZ; PROCESSADOR: MINIMO 2.80 GHZ /10 NUCLEOS FISICOS/-20 THREADS; DISCO RIGIDO: 512 GB DO TIPO SSD M.2 PCLE NVME; MONITOR: MINIMO DE 23,8 POLEGADAS DO TIPO MULTIMIDIA; RESOLUCAO DE IMAGEM: 1920x1080 OU SUPERIOR;
</t>
  </si>
  <si>
    <t>PREÇO DE REFERÊNCIA TOTAL LOTE 2:</t>
  </si>
  <si>
    <t xml:space="preserve">LOTE 3 </t>
  </si>
  <si>
    <t>Notebook - NOTEBOOK, NETBOOK E/OU ULTRAFINO - IDENTIFICACAO: NOTEBOOK; SOFTWARE: WINDOWS 10 PROFESSIONAL 64 BITS OEM/PRE-INSTALADO; CLOCK: MINIIMO DE 2.8 GHZ, 4 NUCLEOS, 8 THREADS;
DISCO RIGIDO: 512 GB DO TIPO SSD M.2 PCLE NVME; MEMORIA: 32GB/SDRAM DDR4/3200MHZ; TELA: 14 POLEGADAS IPS; DISPOSITIVO: LEITOR DE DIGITAIS; ACESSORIOS: MOCHILA E MOUSE</t>
  </si>
  <si>
    <t>PREÇO DE REFERÊNCIA TOTAL LOTE 3:</t>
  </si>
  <si>
    <t xml:space="preserve">LOTE 4 </t>
  </si>
  <si>
    <t xml:space="preserve">Servidor Kace - SERVIDOR DE REDE - TIPO: PARA RACK 19 POLEGADAS; PROCESSADOR: 02 PROCESSADORES DE 2.8 GHZ, 8 NÚCLEOS E 16 THREAD; ARQUITETURA: X86; TIPO DE MEMÓRIA: RDIMM; CAPACIDADE
MEMORIA: 32 GB; FREQUENCIA DA MEMORIA: 3200 GHZ; DISCO RIGIDO: 04 DISCOS SSD DE 1.92 TB; </t>
  </si>
  <si>
    <t>PREÇO DE REFERÊNCIA TOTAL LOTE 4:</t>
  </si>
  <si>
    <t xml:space="preserve">LOTE 5 </t>
  </si>
  <si>
    <t xml:space="preserve">Servidor Backup - SERVIDOR DE REDE - TIPO: PARA RACK 19 POLEGADAS; PROCESSADOR: 1 PROCESSADOR DE 2.10 GHZ, 12 NUCLEOS E 24 THREADS; ARQUITETURA: X86; TIPO DE MEMÓRIA: RDIMM; CAPACIDADE
MEMORIA: 16 GB; FREQUENCIA DA MEMORIA: 3200 GHZ; DISCO RIGIDO: 08 DISCOS SSD DE 1.92 TB; </t>
  </si>
  <si>
    <t>PREÇO DE REFERÊNCIA TOTAL LOTE 5:</t>
  </si>
  <si>
    <t>LOTE 6</t>
  </si>
  <si>
    <t xml:space="preserve"> FORNECEDORES</t>
  </si>
  <si>
    <t>PREÇOS DE INTERNET</t>
  </si>
  <si>
    <t>PREÇOS PÚBLICOS</t>
  </si>
  <si>
    <t xml:space="preserve">LENOVO (ITEM 1) / KALUNGA (ITEM 2) </t>
  </si>
  <si>
    <t>DELL</t>
  </si>
  <si>
    <t>KABUM</t>
  </si>
  <si>
    <t>SHOPTIME / AMERICANAS</t>
  </si>
  <si>
    <t>BANCO DE PREÇOS</t>
  </si>
  <si>
    <t>Gravador de DVD externo USB - GRAVADOR/LEITOR DE DVD, EXTERNO - VELOCIDADE GRAVACAO: 8X (DVD-R); VELOCIDADE REGRAVACAO: 6X (DVD-RW); VELOCIDADE LEITURA: 8X (DVD-ROM); INTERFACE: USB 2.0;</t>
  </si>
  <si>
    <t>Suporte universal ergonômico para apoio do notebook - SUPORTE PARA NOTEBOOK - TIPO: ERGONOMICO E REGULAVEL; MATERIA-PRIMA: ACO CROMADO; ACABAMENTO: PLASTICO; REGULAGEM ALTURA: MINIMO 05 NIVEIS;</t>
  </si>
  <si>
    <t>PREÇO DE REFERÊNCIA TOTAL LOTE 6:</t>
  </si>
  <si>
    <r>
      <rPr>
        <sz val="8"/>
        <color theme="1"/>
        <rFont val="Arial"/>
        <family val="2"/>
      </rPr>
      <t xml:space="preserve">OBSERVAÇÕES IMPORTANTES: 
1)  Não é possível localizar preços públicos/internet para os itens constantes dos lotes 1a 5 devido às especificidades e particularidades dos objetos conforme detalhamento no Termo de Referência 
2) Dos orçamentos enviados pelos fornecedores, preços públicos e internet foram considerados apenas os valores unitários neste Mapa Comparativo de Preços, ressalvando assim quaisquer equívocos no cálculo dos totalizadores.
3)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em se tratando de dispensa de licitação, a aplicação do menor preço; no caso de licitação,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
4) Outros fornecedores consultados pela DGCL: xxxxxxxxx      
5) Dos cinco fornecedores que enviaram orçamentos, somente 1 (Eletra) é empresa do porte ME/EPP. Todos os demais (Click TI, Drive A, Líder Notebook e PerfilComp) são empresas de grande porte. </t>
    </r>
    <r>
      <rPr>
        <b/>
        <sz val="8"/>
        <color theme="1"/>
        <rFont val="Arial"/>
        <family val="2"/>
      </rPr>
      <t xml:space="preserve">       </t>
    </r>
  </si>
  <si>
    <t>Responsável pela cotação de preços dos fornecedores e internet : Setor técnico. -Responsável pelos preços públicos e tentativa de obtenção de outros preços: servidora Érica Viana Giardini de Oliveira - MAMP 2608. Responsável pelo mapa comparativo de preços: servidora Érica Viana Giardini de Oliveira - MAMP 2608.</t>
  </si>
  <si>
    <t>PROCESSO SEI: 19.16.3900.0075869/2022-59</t>
  </si>
  <si>
    <t>OBJETO: equipamentos audiovisuais</t>
  </si>
  <si>
    <t>CONCLUSÃO: 29/07/2022</t>
  </si>
  <si>
    <t>LOTE ÚNICO</t>
  </si>
  <si>
    <t>AVP</t>
  </si>
  <si>
    <t>PRIME SOM</t>
  </si>
  <si>
    <t>RSS</t>
  </si>
  <si>
    <t>ELABORACAO DE PROJETO EXECUTIVO AUDIOVISUAL, CABEAMENTO ESTRUTURADO E ENERGIA ELETRICA; PROJETO INCLUI TAMBEM PLANTA BAIXA, LEIAUTE DE DISTRIBUICAO DOS EQUIPAMENTOS, CRONOGRAMA DE INSTALAÇÃO, CONFIGURAÇÃO DOS EQUIPAMENTOS, CRONOGRAMA DA CAPACITAÇÃO.  Conforme previsto no item 22 deste TR.</t>
  </si>
  <si>
    <t>SERVIÇOS DE INSTALAÇÃO E MONTAGEM DE SISTEMA AUDIOVISUAL, EM BELO HORIZONTE - MG.  Conforme previsto no item 22 deste TR.</t>
  </si>
  <si>
    <t>SERVIÇOS DE INSTALAÇÃO E MONTAGEM DE SISTEMA AUDIOVISUAL, EM BRASÍLIA - DF.</t>
  </si>
  <si>
    <t>SERVICOS DE MINISTRACAO DE CURSO DE CAPACITACAO E TREINAMENTO DE PESSOAL EM AREA OPERACIONAL - CAPACITAÇÃO DE ATÉ 10 (DEZ) FUNCIONÁRIOS PARA OPERAR OS SISTEMAS DE ÁUDIO E VÍDEO INSTALADOS NO RESPECTIVO ESPAÇO DE BELO HORIZONTE ? MG.  Conforme previsto no item 22 deste TR.</t>
  </si>
  <si>
    <t>SERVICOS DE MINISTRACAO DE CURSO DE CAPACITACAO E TREINAMENTO DE PESSOAL EM AREA OPERACIONAL - CAPACITAÇÃO DE ATÉ 05 (CINCO) FUNCIONÁRIOS PARA OPERAR OS SISTEMAS DE ÁUDIO E VÍDEO INSTALADOS NO RESPECTIVO ESPAÇO DE BRASÍLIA ? DF.</t>
  </si>
  <si>
    <t>INSTALACAO E MONTAGEM DE REDE LOGICA E ELETRICA, EM BELO HORIZONTE - MG.  Conforme previsto no item 22 deste TR.</t>
  </si>
  <si>
    <t>INSTALACAO E MONTAGEM DE REDE LOGICA E ELETRICA, EM BRASÍLIA - DF.</t>
  </si>
  <si>
    <t xml:space="preserve">CÂMERA PTZ - ROBÓTICA COM ZOOM DE 35X   SAÍDAS SDI, HDMI, DVI-I E NDI|HX (ETHERNET);   </t>
  </si>
  <si>
    <t xml:space="preserve">CONTROLE PARA CÂMERA PTZ COM INTERFACES ETHERNET </t>
  </si>
  <si>
    <t xml:space="preserve">SWITCH - TIPO; INSTALACAO: 1U EM RACK DE 19''; </t>
  </si>
  <si>
    <t xml:space="preserve">WORKSTATION PARA GRAVACAO E STREAM COM VMIXHD    PROCESSADOR: INTEL CORE I9-10900K </t>
  </si>
  <si>
    <t>METRO</t>
  </si>
  <si>
    <t>CABO ELETRICO - TIPO: BIPOLAR; FLEXIBILIDADE: FLEXIVEL; CONDUTOR: COBRE;</t>
  </si>
  <si>
    <t xml:space="preserve">CABO ELETRICO PARA EQUIPAMENTOS - VIAS: 3 VIAS; CONDUTOR: COBRE NU; TEMPERA: MOLE; </t>
  </si>
  <si>
    <t xml:space="preserve">MULTICABO PARA AUDIO - </t>
  </si>
  <si>
    <t xml:space="preserve">CABO PARA AUDIO </t>
  </si>
  <si>
    <t xml:space="preserve">CABO PARA VIDEO - </t>
  </si>
  <si>
    <t>CABO DE REDE - TIPO: UTP;</t>
  </si>
  <si>
    <t>CONECTOR PARA COMUNICACAO - IDENTIFICACAO:</t>
  </si>
  <si>
    <t xml:space="preserve">CONECTOR PARA COMUNICACAO - IDENTIFICACAO: FEMEA; APLICACAO: </t>
  </si>
  <si>
    <t xml:space="preserve">CONECTOR PARA COMUNICACAO - </t>
  </si>
  <si>
    <t xml:space="preserve">CONECTOR PARA COMUNICACAO - IDENTIFICACAO: MACHO; APLICACAO: </t>
  </si>
  <si>
    <t>CONECTOR ELETRICO - TIPO: PINO; CONECTOR DE ALIMENTACAO (.</t>
  </si>
  <si>
    <t>CONECTOR ELETRICO - TIPO: PINO; .</t>
  </si>
  <si>
    <t xml:space="preserve">CONDUITE  TIPO SEALTUBO FLEXÍVEL; MATERIA PRIMA: METAL; BITOLA: 1 POLEGADA: </t>
  </si>
  <si>
    <t xml:space="preserve">TABLET - PROCESSADOR: IGUAL OU SUPERIOR A QUAD CORE 2.0 GHZ + QUAD CORE 1.7 GHZ; MEMORIA RAM: </t>
  </si>
  <si>
    <t>SERVICO ESPECIALIZADO DE OPERACAO ASSISTIDA EM SOLUCAO DE VIDEO, AUDIO E INFORMATICA COM CARGA HORÁRIA TOTAL MÍNIMA DE 30 HORAS, SENDO A CARGA HORÁRIA ADEQUADA A COMPLETA COBERTURA DOEVENTO REALIZADO  TREINAMENTO EM BELO HORIZONTE / MG.</t>
  </si>
  <si>
    <t>SERVICO ESPECIALIZADO DE OPERACAO ASSISTIDA EM SOLUCAO VIDEO, AUDIO E INFORMATICA COM CARGA HORÁRIA TOTAL MÍNIMA DE 20 HORAS, SENDO A CARGA HORÁRIA ADEQUADA A COMPLETA COBERTURA DOEVENTO REALIZADO  TREINAMENTO EM BRASÍLIA / DF.</t>
  </si>
  <si>
    <t xml:space="preserve">PREÇO DE REFERÊNCIA TOTAL LOTE </t>
  </si>
  <si>
    <t>OBSERVAÇÕES IMPORTANTES: 
1) As coletas de preços foram efetuadas pela setor demandante. 
2) Dos orçamentos enviados pelos fornecedores foram considerados apenas os valores unitários neste Mapa Comparativo de Preços, ressalvando assim quaisquer equívocos no cálculo dos totalizadores.
3)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</si>
  <si>
    <t>Responsável pela cotação de preços :CCER Responsável pelo mapa comparativo de preços: Sílvia Maria Lessa Costa-  MAMP 181100; Conferido por: Letícia Saraiva de Souza Matrícula 129088</t>
  </si>
  <si>
    <t xml:space="preserve">MATRIZ HDMI   COMPATÍVEL COM HDMI 2.0, HDCP2.2 E 1.4   SUPORTA FORMATO DE VÍDEO ATÉ 4KX2K@60HZ COM 24 BIT RGB/YCBCR </t>
  </si>
  <si>
    <t xml:space="preserve">SUBWOOFER - ARANDELA ALTO FALANTE - MATERIA PRIMA: CARCACA EM CHAPA DE ACO; ACABAMENTO: PINTURA EPOXI; COR ACABAMENTO: BRANCA; TELA: METALICA REMOVIVEL; COR: BRANCA; </t>
  </si>
  <si>
    <t xml:space="preserve">INTERFACE DE AUDIO HD- GRAVACAO: 02 CANAIS STEREO COM PRÉ-AMPLIFICADORES; INTERFACE USB; ENTRADA: MICROFONE, GUITARRA, AUXILIAR; SAIDA FONE; </t>
  </si>
  <si>
    <t>MISTURADOR DE AUDIO - APLICACAO: MISTURADOR DE AUDIO DE MICROFONES; ENTRADA: MINIMO DE 08 ENTRADAS XLR BALANCEADAS; SAIDA: 8 SAIDAS ANALOGICAS XLR BALANCEADAS;</t>
  </si>
  <si>
    <t xml:space="preserve">TELEVISOR DE LED 75 POLEGADAS;   CARACTERÍSTICAS VÍDEO  TECNOLOGIA: CRYSTAL UHD  RESOLUÇÃO: 4K </t>
  </si>
  <si>
    <t xml:space="preserve">TELEVISAO 55? - TIPO: SMART TV 3D; TAMANHO TELA EM POLEGADA: 55 POLEGADAS; </t>
  </si>
  <si>
    <t>PLACA CAPTURA E EXIBICAO PARA ESTUDIO TV - BARRAMENTO: USB 3.0</t>
  </si>
  <si>
    <t xml:space="preserve">EXTENSOR HDMI TX/RX (PAR)  </t>
  </si>
  <si>
    <t xml:space="preserve">SUPORTE PARA TELEVISAO - TIPO: TETO; </t>
  </si>
  <si>
    <t xml:space="preserve">RACK PARA EQUIPAMENTOS - TIPO: FECHADO, PARA PISO; </t>
  </si>
  <si>
    <t>BANDEJA TIPO GAVETA PARA RACK - TAMANHO: 2U A 3U; TIPO: RACK FECHADO, PADRAO 19 POLEGADAS</t>
  </si>
  <si>
    <t xml:space="preserve">PAINEL PARA CONEXAO DE ENERGIA - APLICACAO: PARA AUDIO, VIDEO, SOM ETC; DISPLAY: </t>
  </si>
  <si>
    <t>ARANDELA ALTO FALANTE - MATERIA PRIMA: CARCACA EM CHAPA DE ACO; ACABAMENTO: PINTURA EPOXI; COR ACABAMENTO: BRANCA; TELA: METALICA REMOVIVEL</t>
  </si>
  <si>
    <t xml:space="preserve">AMPLIFICADOR DE AUDIO - AMPLIFICADOR DE POTENCIA; MÍNIMO DE 08 CANAIS; MÍNIMO DE 04 ENTRADAS; MÍNIMO DE 04 SAIDAS ESTERIO; </t>
  </si>
  <si>
    <t xml:space="preserve">MICROFONE GOOSENECK - IMPEDANCIA: NOMINAL 180 OHMS; SENSIBILIDADE: DIAGRAMA POLAR CARDIOIDE; ESTRUTURA INTERNA: CONDENSADOR; </t>
  </si>
  <si>
    <t xml:space="preserve">MESA CONTROLADORA DE SISTEMA DE SOM - CARACTERISTICAS: 24 CANAIS, PARA MONTAGEM EM RACK; MIXAGEM DIGITAL; CONEXOES XLR/MIC/RCA; COMBO XLR-1/4 / </t>
  </si>
  <si>
    <t xml:space="preserve">MICROFONE SEM FIO DE MÃO- IMPEDÂNCIA: ALTA E BAIXA IMPEDÂNCIA; SENSIBILIDADE: DIRECIONAL; ESTRUTURA INTERNA: BONINA;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</si>
</sst>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R$&quot;\ #,##0.00"/>
  </numFmts>
  <fonts count="14">
    <font>
      <sz val="11"/>
      <color theme="1"/>
      <name val="Calibri"/>
      <family val="2"/>
      <scheme val="minor"/>
    </font>
    <font>
      <sz val="10"/>
      <name val="Arial"/>
      <family val="2"/>
    </font>
    <font>
      <sz val="11"/>
      <color rgb="FF9C6500"/>
      <name val="Calibri"/>
      <family val="2"/>
      <scheme val="minor"/>
    </font>
    <font>
      <sz val="14"/>
      <name val="Arial"/>
      <family val="2"/>
    </font>
    <font>
      <b/>
      <sz val="14"/>
      <name val="Arial"/>
      <family val="2"/>
    </font>
    <font>
      <b/>
      <sz val="12"/>
      <name val="Arial"/>
      <family val="2"/>
    </font>
    <font>
      <b/>
      <sz val="8"/>
      <name val="Arial"/>
      <family val="2"/>
    </font>
    <font>
      <sz val="9"/>
      <color theme="1"/>
      <name val="Arial"/>
      <family val="2"/>
    </font>
    <font>
      <sz val="8"/>
      <color rgb="FF9C6500"/>
      <name val="Arial"/>
      <family val="2"/>
    </font>
    <font>
      <sz val="8"/>
      <name val="Arial"/>
      <family val="2"/>
    </font>
    <font>
      <b/>
      <sz val="8"/>
      <color theme="1"/>
      <name val="Arial"/>
      <family val="2"/>
    </font>
    <font>
      <sz val="8"/>
      <color theme="1"/>
      <name val="Arial"/>
      <family val="2"/>
    </font>
    <font>
      <sz val="10"/>
      <color theme="1"/>
      <name val="Arial"/>
      <family val="2"/>
    </font>
    <font>
      <sz val="8"/>
      <color theme="1"/>
      <name val="Calibri"/>
      <family val="2"/>
      <scheme val="minor"/>
    </font>
  </fonts>
  <fills count="11">
    <fill>
      <patternFill/>
    </fill>
    <fill>
      <patternFill patternType="gray125"/>
    </fill>
    <fill>
      <patternFill patternType="solid">
        <fgColor rgb="FFFFEB9C"/>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rgb="FFFFFF00"/>
        <bgColor indexed="64"/>
      </patternFill>
    </fill>
  </fills>
  <borders count="1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 fillId="2" borderId="0" applyNumberFormat="0" applyBorder="0" applyAlignment="0" applyProtection="0"/>
    <xf numFmtId="9" fontId="0" fillId="0" borderId="0" applyFont="0" applyFill="0" applyBorder="0" applyAlignment="0" applyProtection="0"/>
  </cellStyleXfs>
  <cellXfs count="140">
    <xf numFmtId="0" fontId="0" fillId="0" borderId="0" xfId="0"/>
    <xf numFmtId="0" fontId="2" fillId="3" borderId="0" xfId="21" applyFill="1"/>
    <xf numFmtId="39" fontId="6" fillId="4" borderId="1" xfId="2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39" fontId="6" fillId="6" borderId="1" xfId="20" applyNumberFormat="1" applyFont="1" applyFill="1" applyBorder="1" applyAlignment="1" applyProtection="1">
      <alignment horizontal="center" vertical="center" wrapText="1"/>
      <protection locked="0"/>
    </xf>
    <xf numFmtId="39" fontId="6" fillId="7" borderId="1" xfId="2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164" fontId="9" fillId="0" borderId="1" xfId="20" applyNumberFormat="1" applyFont="1" applyFill="1" applyBorder="1" applyAlignment="1" applyProtection="1">
      <alignment horizontal="right" vertical="center"/>
      <protection/>
    </xf>
    <xf numFmtId="164" fontId="9" fillId="4" borderId="1" xfId="20" applyNumberFormat="1" applyFont="1" applyFill="1" applyBorder="1" applyAlignment="1" applyProtection="1">
      <alignment vertical="center"/>
      <protection/>
    </xf>
    <xf numFmtId="164" fontId="9" fillId="8" borderId="1" xfId="20" applyNumberFormat="1" applyFont="1" applyFill="1" applyBorder="1" applyAlignment="1" applyProtection="1">
      <alignment vertical="center"/>
      <protection/>
    </xf>
    <xf numFmtId="164" fontId="9" fillId="0" borderId="1" xfId="20" applyNumberFormat="1" applyFont="1" applyFill="1" applyBorder="1" applyAlignment="1" applyProtection="1">
      <alignment vertical="center"/>
      <protection/>
    </xf>
    <xf numFmtId="164" fontId="9" fillId="0" borderId="1" xfId="0" applyNumberFormat="1" applyFont="1" applyBorder="1" applyAlignment="1">
      <alignment vertical="center"/>
    </xf>
    <xf numFmtId="164" fontId="6" fillId="7" borderId="1" xfId="20" applyNumberFormat="1" applyFont="1" applyFill="1" applyBorder="1" applyAlignment="1" applyProtection="1">
      <alignment horizontal="center" vertical="center" wrapText="1"/>
      <protection locked="0"/>
    </xf>
    <xf numFmtId="9" fontId="9" fillId="4" borderId="1" xfId="22" applyFont="1" applyFill="1" applyBorder="1" applyAlignment="1" applyProtection="1">
      <alignment vertical="center"/>
      <protection/>
    </xf>
    <xf numFmtId="0" fontId="6" fillId="9" borderId="2" xfId="0" applyFont="1" applyFill="1" applyBorder="1" applyAlignment="1">
      <alignment horizontal="center" vertical="center" wrapText="1"/>
    </xf>
    <xf numFmtId="39" fontId="6" fillId="3" borderId="2" xfId="20" applyNumberFormat="1" applyFont="1" applyFill="1" applyBorder="1" applyAlignment="1" applyProtection="1">
      <alignment horizontal="right" vertical="center" wrapText="1"/>
      <protection locked="0"/>
    </xf>
    <xf numFmtId="39" fontId="6" fillId="3" borderId="3" xfId="20" applyNumberFormat="1" applyFont="1" applyFill="1" applyBorder="1" applyAlignment="1" applyProtection="1">
      <alignment horizontal="right" vertical="center" wrapText="1"/>
      <protection locked="0"/>
    </xf>
    <xf numFmtId="164" fontId="6" fillId="3" borderId="4" xfId="20" applyNumberFormat="1" applyFont="1" applyFill="1" applyBorder="1" applyAlignment="1" applyProtection="1">
      <alignment horizontal="center" vertical="center" wrapText="1"/>
      <protection locked="0"/>
    </xf>
    <xf numFmtId="164" fontId="6" fillId="4" borderId="1" xfId="20" applyNumberFormat="1" applyFont="1" applyFill="1" applyBorder="1" applyAlignment="1" applyProtection="1">
      <alignment vertical="center"/>
      <protection/>
    </xf>
    <xf numFmtId="0" fontId="9" fillId="0" borderId="1" xfId="0" applyFont="1" applyBorder="1" applyAlignment="1" applyProtection="1">
      <alignment horizontal="center" vertical="center" wrapText="1"/>
      <protection locked="0"/>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0" xfId="0" applyFont="1" applyAlignment="1">
      <alignment horizontal="left"/>
    </xf>
    <xf numFmtId="0" fontId="6" fillId="0" borderId="1" xfId="0" applyFont="1" applyBorder="1" applyAlignment="1">
      <alignment horizontal="center" vertical="center" wrapText="1"/>
    </xf>
    <xf numFmtId="39" fontId="6" fillId="0" borderId="1" xfId="20" applyNumberFormat="1" applyFont="1" applyFill="1" applyBorder="1" applyAlignment="1" applyProtection="1">
      <alignment horizontal="center" vertical="center" wrapText="1"/>
      <protection locked="0"/>
    </xf>
    <xf numFmtId="0" fontId="2" fillId="0" borderId="0" xfId="21" applyFill="1"/>
    <xf numFmtId="0" fontId="6" fillId="0" borderId="1" xfId="0" applyFont="1" applyBorder="1" applyAlignment="1" applyProtection="1">
      <alignment horizontal="center" vertical="center" wrapText="1"/>
      <protection locked="0"/>
    </xf>
    <xf numFmtId="9" fontId="9" fillId="0" borderId="1" xfId="22" applyFont="1" applyFill="1" applyBorder="1" applyAlignment="1" applyProtection="1">
      <alignment horizontal="center" vertical="center"/>
      <protection/>
    </xf>
    <xf numFmtId="0" fontId="11" fillId="0" borderId="1" xfId="0" applyFont="1" applyBorder="1" applyAlignment="1">
      <alignment horizontal="left" vertical="center" wrapText="1"/>
    </xf>
    <xf numFmtId="0" fontId="0" fillId="0" borderId="1" xfId="0" applyBorder="1"/>
    <xf numFmtId="0" fontId="13" fillId="0" borderId="1" xfId="0" applyFont="1" applyBorder="1" applyAlignment="1">
      <alignment horizontal="left" vertical="center"/>
    </xf>
    <xf numFmtId="0" fontId="0" fillId="0" borderId="1" xfId="0" applyBorder="1" applyAlignment="1">
      <alignment horizontal="center"/>
    </xf>
    <xf numFmtId="0" fontId="5" fillId="0" borderId="0" xfId="0" applyFont="1" applyAlignment="1">
      <alignment horizontal="left" vertical="center"/>
    </xf>
    <xf numFmtId="0" fontId="2" fillId="3" borderId="0" xfId="21" applyFill="1" applyBorder="1"/>
    <xf numFmtId="0" fontId="2" fillId="3" borderId="0" xfId="21" applyFill="1" applyBorder="1" applyAlignment="1">
      <alignment/>
    </xf>
    <xf numFmtId="0" fontId="5" fillId="0" borderId="7" xfId="0" applyFont="1" applyBorder="1" applyAlignment="1">
      <alignment horizontal="left"/>
    </xf>
    <xf numFmtId="0" fontId="12" fillId="0" borderId="1" xfId="0" applyFont="1" applyBorder="1" applyAlignment="1">
      <alignment horizontal="center" vertical="center" wrapText="1"/>
    </xf>
    <xf numFmtId="0" fontId="0" fillId="0" borderId="0" xfId="0" applyBorder="1"/>
    <xf numFmtId="0" fontId="13" fillId="0" borderId="0" xfId="0" applyFont="1" applyBorder="1" applyAlignment="1">
      <alignment horizontal="left" vertical="center"/>
    </xf>
    <xf numFmtId="0" fontId="0" fillId="0" borderId="0" xfId="0" applyBorder="1" applyAlignment="1">
      <alignment horizont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7" fillId="0" borderId="1" xfId="0" applyFont="1" applyBorder="1" applyAlignment="1">
      <alignment horizontal="left" wrapText="1"/>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39" fontId="6" fillId="7" borderId="2" xfId="20" applyNumberFormat="1" applyFont="1" applyFill="1" applyBorder="1" applyAlignment="1" applyProtection="1">
      <alignment horizontal="right" vertical="center" wrapText="1"/>
      <protection locked="0"/>
    </xf>
    <xf numFmtId="39" fontId="6" fillId="7" borderId="3" xfId="20" applyNumberFormat="1" applyFont="1" applyFill="1" applyBorder="1" applyAlignment="1" applyProtection="1">
      <alignment horizontal="right" vertical="center" wrapText="1"/>
      <protection locked="0"/>
    </xf>
    <xf numFmtId="39" fontId="6" fillId="7" borderId="4" xfId="20" applyNumberFormat="1" applyFont="1" applyFill="1" applyBorder="1" applyAlignment="1" applyProtection="1">
      <alignment horizontal="right" vertical="center" wrapText="1"/>
      <protection locked="0"/>
    </xf>
    <xf numFmtId="0" fontId="9" fillId="0" borderId="1" xfId="0" applyFont="1" applyBorder="1" applyAlignment="1" applyProtection="1">
      <alignment horizontal="justify" vertical="center" wrapText="1"/>
      <protection locked="0"/>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5"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center" vertical="center"/>
    </xf>
    <xf numFmtId="0" fontId="5" fillId="0" borderId="0" xfId="0" applyFont="1" applyAlignment="1">
      <alignment horizontal="left" wrapText="1"/>
    </xf>
    <xf numFmtId="0" fontId="6" fillId="3" borderId="1" xfId="21" applyFont="1" applyFill="1" applyBorder="1" applyAlignment="1">
      <alignment horizontal="center"/>
    </xf>
    <xf numFmtId="0" fontId="8" fillId="3" borderId="1" xfId="21" applyFont="1" applyFill="1" applyBorder="1" applyAlignment="1">
      <alignment horizontal="center"/>
    </xf>
    <xf numFmtId="0" fontId="6" fillId="7" borderId="2" xfId="0" applyFont="1" applyFill="1" applyBorder="1" applyAlignment="1">
      <alignment horizontal="right" vertical="center" wrapText="1"/>
    </xf>
    <xf numFmtId="0" fontId="6" fillId="7" borderId="3" xfId="0" applyFont="1" applyFill="1" applyBorder="1" applyAlignment="1">
      <alignment horizontal="right" vertical="center" wrapText="1"/>
    </xf>
    <xf numFmtId="0" fontId="6" fillId="7" borderId="4" xfId="0" applyFont="1" applyFill="1" applyBorder="1" applyAlignment="1">
      <alignment horizontal="right"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164" fontId="5" fillId="0" borderId="0" xfId="0" applyNumberFormat="1" applyFont="1" applyAlignment="1">
      <alignment horizontal="left"/>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6" xfId="0" applyFont="1" applyFill="1" applyBorder="1" applyAlignment="1">
      <alignment horizontal="center" vertical="center"/>
    </xf>
    <xf numFmtId="0" fontId="6" fillId="9" borderId="0" xfId="0" applyFont="1" applyFill="1" applyAlignment="1">
      <alignment horizontal="center" vertical="center"/>
    </xf>
    <xf numFmtId="0" fontId="6" fillId="9" borderId="17" xfId="0" applyFont="1" applyFill="1" applyBorder="1" applyAlignment="1">
      <alignment horizontal="center" vertical="center"/>
    </xf>
    <xf numFmtId="0" fontId="5" fillId="0" borderId="0" xfId="0" applyFont="1" applyAlignment="1">
      <alignment horizontal="center"/>
    </xf>
    <xf numFmtId="0" fontId="6" fillId="9" borderId="1"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6" borderId="12"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3" borderId="1" xfId="0" applyFont="1" applyFill="1" applyBorder="1" applyAlignment="1" applyProtection="1">
      <alignment horizontal="center" vertical="center"/>
      <protection locked="0"/>
    </xf>
    <xf numFmtId="0" fontId="6" fillId="7"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1" xfId="0" applyFont="1" applyBorder="1" applyAlignment="1">
      <alignment horizontal="left"/>
    </xf>
    <xf numFmtId="0" fontId="7" fillId="0" borderId="16" xfId="0" applyFont="1" applyBorder="1" applyAlignment="1">
      <alignment horizontal="left"/>
    </xf>
    <xf numFmtId="0" fontId="7" fillId="0" borderId="12" xfId="0" applyFont="1" applyBorder="1" applyAlignment="1">
      <alignment horizontal="left"/>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7" xfId="0" applyFont="1" applyBorder="1" applyAlignment="1">
      <alignment horizontal="left"/>
    </xf>
    <xf numFmtId="0" fontId="5" fillId="0" borderId="13" xfId="0" applyFont="1" applyBorder="1" applyAlignment="1">
      <alignment horizontal="center"/>
    </xf>
    <xf numFmtId="0" fontId="6" fillId="0" borderId="1" xfId="21" applyFont="1" applyFill="1" applyBorder="1" applyAlignment="1">
      <alignment horizontal="center"/>
    </xf>
    <xf numFmtId="0" fontId="3" fillId="0" borderId="0" xfId="0" applyFont="1" applyAlignment="1">
      <alignment horizontal="center" wrapTex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center"/>
    </xf>
    <xf numFmtId="0" fontId="5" fillId="0" borderId="7" xfId="0" applyFont="1" applyBorder="1" applyAlignment="1">
      <alignment horizontal="center"/>
    </xf>
    <xf numFmtId="0" fontId="6" fillId="10" borderId="10" xfId="0" applyFont="1" applyFill="1" applyBorder="1" applyAlignment="1">
      <alignment horizontal="center" vertical="center" wrapText="1"/>
    </xf>
    <xf numFmtId="0" fontId="6" fillId="10" borderId="1" xfId="0" applyFont="1" applyFill="1" applyBorder="1" applyAlignment="1">
      <alignment horizontal="center" vertical="center" wrapText="1"/>
    </xf>
    <xf numFmtId="39" fontId="6" fillId="10" borderId="1" xfId="2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lignment vertical="center"/>
    </xf>
    <xf numFmtId="164" fontId="9" fillId="10" borderId="1" xfId="20" applyNumberFormat="1" applyFont="1" applyFill="1" applyBorder="1" applyAlignment="1" applyProtection="1">
      <alignment vertical="center"/>
      <protection/>
    </xf>
    <xf numFmtId="0" fontId="6" fillId="10" borderId="10"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 xfId="0" applyFont="1" applyFill="1" applyBorder="1" applyAlignment="1">
      <alignment horizontal="right" vertical="center"/>
    </xf>
    <xf numFmtId="164" fontId="5" fillId="10" borderId="1" xfId="20" applyNumberFormat="1" applyFont="1" applyFill="1" applyBorder="1" applyAlignment="1" applyProtection="1">
      <alignment horizontal="center" vertical="center" wrapText="1"/>
      <protection locked="0"/>
    </xf>
  </cellXfs>
  <cellStyles count="9">
    <cellStyle name="Normal" xfId="0"/>
    <cellStyle name="Percent" xfId="15"/>
    <cellStyle name="Currency" xfId="16"/>
    <cellStyle name="Currency [0]" xfId="17"/>
    <cellStyle name="Comma" xfId="18"/>
    <cellStyle name="Comma [0]" xfId="19"/>
    <cellStyle name="Vírgula" xfId="20"/>
    <cellStyle name="Neutro" xfId="21"/>
    <cellStyle name="Porcentagem"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47625</xdr:colOff>
      <xdr:row>0</xdr:row>
      <xdr:rowOff>95250</xdr:rowOff>
    </xdr:from>
    <xdr:to>
      <xdr:col>6</xdr:col>
      <xdr:colOff>0</xdr:colOff>
      <xdr:row>0</xdr:row>
      <xdr:rowOff>771525</xdr:rowOff>
    </xdr:to>
    <xdr:pic>
      <xdr:nvPicPr>
        <xdr:cNvPr id="4" name="Imagem 3"/>
        <xdr:cNvPicPr preferRelativeResize="1">
          <a:picLocks noChangeAspect="1"/>
        </xdr:cNvPicPr>
      </xdr:nvPicPr>
      <xdr:blipFill>
        <a:blip r:embed="rId1"/>
        <a:stretch>
          <a:fillRect/>
        </a:stretch>
      </xdr:blipFill>
      <xdr:spPr>
        <a:xfrm>
          <a:off x="295275" y="95250"/>
          <a:ext cx="1914525" cy="676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285750"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47625</xdr:colOff>
      <xdr:row>0</xdr:row>
      <xdr:rowOff>95250</xdr:rowOff>
    </xdr:from>
    <xdr:to>
      <xdr:col>4</xdr:col>
      <xdr:colOff>152400</xdr:colOff>
      <xdr:row>0</xdr:row>
      <xdr:rowOff>771525</xdr:rowOff>
    </xdr:to>
    <xdr:pic>
      <xdr:nvPicPr>
        <xdr:cNvPr id="3" name="Imagem 2"/>
        <xdr:cNvPicPr preferRelativeResize="1">
          <a:picLocks noChangeAspect="1"/>
        </xdr:cNvPicPr>
      </xdr:nvPicPr>
      <xdr:blipFill>
        <a:blip r:embed="rId1"/>
        <a:stretch>
          <a:fillRect/>
        </a:stretch>
      </xdr:blipFill>
      <xdr:spPr>
        <a:xfrm>
          <a:off x="295275" y="95250"/>
          <a:ext cx="1914525" cy="6762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7"/>
  <sheetViews>
    <sheetView zoomScale="130" zoomScaleNormal="130" workbookViewId="0" topLeftCell="A1">
      <selection activeCell="M44" sqref="M44"/>
    </sheetView>
  </sheetViews>
  <sheetFormatPr defaultColWidth="9.140625" defaultRowHeight="15"/>
  <cols>
    <col min="1" max="1" width="3.7109375" style="1" customWidth="1"/>
    <col min="2" max="3" width="2.7109375" style="0" customWidth="1"/>
    <col min="4" max="4" width="7.421875" style="0" customWidth="1"/>
    <col min="5" max="5" width="7.421875" style="0" bestFit="1" customWidth="1"/>
    <col min="9" max="9" width="10.7109375" style="0" customWidth="1"/>
    <col min="10" max="10" width="7.8515625" style="0" customWidth="1"/>
    <col min="11" max="12" width="15.8515625" style="0" bestFit="1" customWidth="1"/>
    <col min="13" max="13" width="17.140625" style="0" customWidth="1"/>
    <col min="14" max="15" width="15.7109375" style="0" customWidth="1"/>
    <col min="16" max="16" width="15.421875" style="0" customWidth="1"/>
    <col min="17" max="18" width="11.140625" style="0" customWidth="1"/>
    <col min="19" max="19" width="11.00390625" style="0" customWidth="1"/>
    <col min="20" max="20" width="12.8515625" style="0" customWidth="1"/>
    <col min="21" max="21" width="12.140625" style="0" customWidth="1"/>
    <col min="22" max="22" width="14.140625" style="0" customWidth="1"/>
    <col min="23" max="16384" width="9.140625" style="1" customWidth="1"/>
  </cols>
  <sheetData>
    <row r="1" spans="2:22" ht="67.5" customHeight="1">
      <c r="B1" s="78"/>
      <c r="C1" s="78"/>
      <c r="D1" s="78"/>
      <c r="E1" s="79"/>
      <c r="F1" s="79"/>
      <c r="G1" s="79"/>
      <c r="H1" s="79"/>
      <c r="I1" s="79"/>
      <c r="J1" s="79"/>
      <c r="K1" s="79"/>
      <c r="L1" s="79"/>
      <c r="M1" s="79"/>
      <c r="N1" s="79"/>
      <c r="O1" s="79"/>
      <c r="P1" s="79"/>
      <c r="Q1" s="79"/>
      <c r="R1" s="79"/>
      <c r="S1" s="79"/>
      <c r="T1" s="79"/>
      <c r="U1" s="79"/>
      <c r="V1" s="79"/>
    </row>
    <row r="2" spans="2:22" ht="15.75">
      <c r="B2" s="80" t="s">
        <v>0</v>
      </c>
      <c r="C2" s="80"/>
      <c r="D2" s="80"/>
      <c r="E2" s="80"/>
      <c r="F2" s="80"/>
      <c r="G2" s="80"/>
      <c r="H2" s="80"/>
      <c r="I2" s="80"/>
      <c r="J2" s="80"/>
      <c r="K2" s="80"/>
      <c r="L2" s="80"/>
      <c r="M2" s="80"/>
      <c r="N2" s="80"/>
      <c r="O2" s="80"/>
      <c r="P2" s="80"/>
      <c r="Q2" s="80"/>
      <c r="R2" s="80"/>
      <c r="S2" s="80"/>
      <c r="T2" s="80"/>
      <c r="U2" s="80"/>
      <c r="V2" s="80"/>
    </row>
    <row r="3" spans="2:22" ht="15.75">
      <c r="B3" s="77" t="s">
        <v>1</v>
      </c>
      <c r="C3" s="77"/>
      <c r="D3" s="77"/>
      <c r="E3" s="77"/>
      <c r="F3" s="77"/>
      <c r="G3" s="77"/>
      <c r="H3" s="77"/>
      <c r="I3" s="77"/>
      <c r="J3" s="77"/>
      <c r="K3" s="77"/>
      <c r="L3" s="77"/>
      <c r="M3" s="77"/>
      <c r="N3" s="77"/>
      <c r="O3" s="77"/>
      <c r="P3" s="77"/>
      <c r="Q3" s="77"/>
      <c r="R3" s="77"/>
      <c r="S3" s="77"/>
      <c r="T3" s="77"/>
      <c r="U3" s="77"/>
      <c r="V3" s="77"/>
    </row>
    <row r="4" spans="2:22" ht="18" customHeight="1">
      <c r="B4" s="81" t="s">
        <v>2</v>
      </c>
      <c r="C4" s="81"/>
      <c r="D4" s="81"/>
      <c r="E4" s="81"/>
      <c r="F4" s="81"/>
      <c r="G4" s="81"/>
      <c r="H4" s="81"/>
      <c r="I4" s="81"/>
      <c r="J4" s="81"/>
      <c r="K4" s="81"/>
      <c r="L4" s="81"/>
      <c r="M4" s="81"/>
      <c r="N4" s="81"/>
      <c r="O4" s="81"/>
      <c r="P4" s="81"/>
      <c r="Q4" s="81"/>
      <c r="R4" s="81"/>
      <c r="S4" s="81"/>
      <c r="T4" s="81"/>
      <c r="U4" s="81"/>
      <c r="V4" s="81"/>
    </row>
    <row r="5" spans="2:22" ht="15.75">
      <c r="B5" s="77" t="s">
        <v>3</v>
      </c>
      <c r="C5" s="77"/>
      <c r="D5" s="77"/>
      <c r="E5" s="77"/>
      <c r="F5" s="77"/>
      <c r="G5" s="77"/>
      <c r="H5" s="77"/>
      <c r="I5" s="77"/>
      <c r="J5" s="77"/>
      <c r="K5" s="77"/>
      <c r="L5" s="77"/>
      <c r="M5" s="77"/>
      <c r="N5" s="77"/>
      <c r="O5" s="77"/>
      <c r="P5" s="77"/>
      <c r="Q5" s="77"/>
      <c r="R5" s="77"/>
      <c r="S5" s="77"/>
      <c r="T5" s="77"/>
      <c r="U5" s="77"/>
      <c r="V5" s="77"/>
    </row>
    <row r="6" spans="2:22" ht="15.75">
      <c r="B6" s="77" t="s">
        <v>4</v>
      </c>
      <c r="C6" s="77"/>
      <c r="D6" s="77"/>
      <c r="E6" s="77"/>
      <c r="F6" s="77"/>
      <c r="G6" s="77"/>
      <c r="H6" s="77"/>
      <c r="I6" s="90">
        <f>SUM(V16,V22,V28,V34,V40,V47,)</f>
        <v>71709993.66666667</v>
      </c>
      <c r="J6" s="77"/>
      <c r="K6" s="77"/>
      <c r="L6" s="77"/>
      <c r="M6" s="77"/>
      <c r="N6" s="77"/>
      <c r="O6" s="77"/>
      <c r="P6" s="77"/>
      <c r="Q6" s="77"/>
      <c r="R6" s="77"/>
      <c r="S6" s="77"/>
      <c r="T6" s="77"/>
      <c r="U6" s="77"/>
      <c r="V6" s="77"/>
    </row>
    <row r="7" spans="2:22" ht="15">
      <c r="B7" s="97"/>
      <c r="C7" s="97"/>
      <c r="D7" s="97"/>
      <c r="E7" s="97"/>
      <c r="F7" s="97"/>
      <c r="G7" s="97"/>
      <c r="H7" s="97"/>
      <c r="I7" s="97"/>
      <c r="J7" s="97"/>
      <c r="K7" s="97"/>
      <c r="L7" s="97"/>
      <c r="M7" s="97"/>
      <c r="N7" s="97"/>
      <c r="O7" s="97"/>
      <c r="P7" s="97"/>
      <c r="Q7" s="97"/>
      <c r="R7" s="97"/>
      <c r="S7" s="97"/>
      <c r="T7" s="97"/>
      <c r="U7" s="97"/>
      <c r="V7" s="97"/>
    </row>
    <row r="8" spans="2:22" ht="15">
      <c r="B8" s="97"/>
      <c r="C8" s="97"/>
      <c r="D8" s="97"/>
      <c r="E8" s="97"/>
      <c r="F8" s="97"/>
      <c r="G8" s="97"/>
      <c r="H8" s="97"/>
      <c r="I8" s="97"/>
      <c r="J8" s="97"/>
      <c r="K8" s="97"/>
      <c r="L8" s="97"/>
      <c r="M8" s="97"/>
      <c r="N8" s="97"/>
      <c r="O8" s="97"/>
      <c r="P8" s="97"/>
      <c r="Q8" s="97"/>
      <c r="R8" s="97"/>
      <c r="S8" s="97"/>
      <c r="T8" s="97"/>
      <c r="U8" s="97"/>
      <c r="V8" s="97"/>
    </row>
    <row r="9" spans="2:22" ht="15">
      <c r="B9" s="82" t="s">
        <v>5</v>
      </c>
      <c r="C9" s="83"/>
      <c r="D9" s="83"/>
      <c r="E9" s="83"/>
      <c r="F9" s="83"/>
      <c r="G9" s="83"/>
      <c r="H9" s="83"/>
      <c r="I9" s="83"/>
      <c r="J9" s="83"/>
      <c r="K9" s="83"/>
      <c r="L9" s="83"/>
      <c r="M9" s="83"/>
      <c r="N9" s="83"/>
      <c r="O9" s="83"/>
      <c r="P9" s="83"/>
      <c r="Q9" s="83"/>
      <c r="R9" s="83"/>
      <c r="S9" s="83"/>
      <c r="T9" s="83"/>
      <c r="U9" s="83"/>
      <c r="V9" s="83"/>
    </row>
    <row r="10" spans="2:22" ht="21.75" customHeight="1">
      <c r="B10" s="63" t="s">
        <v>6</v>
      </c>
      <c r="C10" s="64"/>
      <c r="D10" s="98" t="s">
        <v>7</v>
      </c>
      <c r="E10" s="98" t="s">
        <v>8</v>
      </c>
      <c r="F10" s="99" t="s">
        <v>9</v>
      </c>
      <c r="G10" s="99"/>
      <c r="H10" s="99"/>
      <c r="I10" s="99"/>
      <c r="J10" s="98" t="s">
        <v>10</v>
      </c>
      <c r="K10" s="87" t="s">
        <v>11</v>
      </c>
      <c r="L10" s="88"/>
      <c r="M10" s="88"/>
      <c r="N10" s="88"/>
      <c r="O10" s="88"/>
      <c r="P10" s="89"/>
      <c r="Q10" s="73" t="s">
        <v>12</v>
      </c>
      <c r="R10" s="74"/>
      <c r="S10" s="74"/>
      <c r="T10" s="60" t="s">
        <v>13</v>
      </c>
      <c r="U10" s="69" t="s">
        <v>14</v>
      </c>
      <c r="V10" s="70"/>
    </row>
    <row r="11" spans="2:22" ht="24.75" customHeight="1">
      <c r="B11" s="65"/>
      <c r="C11" s="66"/>
      <c r="D11" s="98"/>
      <c r="E11" s="98"/>
      <c r="F11" s="99"/>
      <c r="G11" s="99"/>
      <c r="H11" s="99"/>
      <c r="I11" s="99"/>
      <c r="J11" s="98"/>
      <c r="K11" s="3" t="s">
        <v>15</v>
      </c>
      <c r="L11" s="3" t="s">
        <v>16</v>
      </c>
      <c r="M11" s="4" t="s">
        <v>17</v>
      </c>
      <c r="N11" s="4" t="s">
        <v>18</v>
      </c>
      <c r="O11" s="3" t="s">
        <v>19</v>
      </c>
      <c r="P11" s="3"/>
      <c r="Q11" s="75"/>
      <c r="R11" s="76"/>
      <c r="S11" s="76"/>
      <c r="T11" s="61"/>
      <c r="U11" s="71"/>
      <c r="V11" s="72"/>
    </row>
    <row r="12" spans="2:22" ht="22.5" customHeight="1" thickBot="1">
      <c r="B12" s="67"/>
      <c r="C12" s="68"/>
      <c r="D12" s="98"/>
      <c r="E12" s="98"/>
      <c r="F12" s="99"/>
      <c r="G12" s="99"/>
      <c r="H12" s="99"/>
      <c r="I12" s="99"/>
      <c r="J12" s="98"/>
      <c r="K12" s="2" t="s">
        <v>12</v>
      </c>
      <c r="L12" s="2" t="s">
        <v>12</v>
      </c>
      <c r="M12" s="2" t="s">
        <v>12</v>
      </c>
      <c r="N12" s="2" t="s">
        <v>12</v>
      </c>
      <c r="O12" s="2" t="s">
        <v>12</v>
      </c>
      <c r="P12" s="2"/>
      <c r="Q12" s="5" t="s">
        <v>20</v>
      </c>
      <c r="R12" s="5" t="s">
        <v>21</v>
      </c>
      <c r="S12" s="5" t="s">
        <v>22</v>
      </c>
      <c r="T12" s="62"/>
      <c r="U12" s="6" t="s">
        <v>23</v>
      </c>
      <c r="V12" s="6" t="s">
        <v>24</v>
      </c>
    </row>
    <row r="13" spans="2:22" ht="80.25" customHeight="1" thickBot="1">
      <c r="B13" s="44">
        <v>1</v>
      </c>
      <c r="C13" s="46"/>
      <c r="D13" s="7">
        <v>3500</v>
      </c>
      <c r="E13" s="8" t="s">
        <v>25</v>
      </c>
      <c r="F13" s="54" t="s">
        <v>26</v>
      </c>
      <c r="G13" s="54"/>
      <c r="H13" s="54"/>
      <c r="I13" s="54"/>
      <c r="J13" s="24">
        <v>1865765</v>
      </c>
      <c r="K13" s="9">
        <v>12718</v>
      </c>
      <c r="L13" s="9">
        <v>10500</v>
      </c>
      <c r="M13" s="9">
        <v>8599</v>
      </c>
      <c r="N13" s="9">
        <v>13225</v>
      </c>
      <c r="O13" s="9">
        <v>13450</v>
      </c>
      <c r="P13" s="9"/>
      <c r="Q13" s="10">
        <f>MIN(K13:P13)</f>
        <v>8599</v>
      </c>
      <c r="R13" s="20">
        <f>AVERAGE(K13:P13)</f>
        <v>11698.4</v>
      </c>
      <c r="S13" s="10">
        <f>MEDIAN(K13:P13)</f>
        <v>12718</v>
      </c>
      <c r="T13" s="15">
        <f>STDEV(K13:P13)/AVERAGE(K13:P13)</f>
        <v>0.17869901845137948</v>
      </c>
      <c r="U13" s="11">
        <f>R13</f>
        <v>11698.4</v>
      </c>
      <c r="V13" s="11">
        <f>U13*D13</f>
        <v>40944400</v>
      </c>
    </row>
    <row r="14" spans="2:22" ht="48.75" customHeight="1" thickBot="1">
      <c r="B14" s="44">
        <v>2</v>
      </c>
      <c r="C14" s="46"/>
      <c r="D14" s="7">
        <v>700</v>
      </c>
      <c r="E14" s="8" t="s">
        <v>25</v>
      </c>
      <c r="F14" s="54" t="s">
        <v>27</v>
      </c>
      <c r="G14" s="54"/>
      <c r="H14" s="54"/>
      <c r="I14" s="54"/>
      <c r="J14" s="25">
        <v>1451952</v>
      </c>
      <c r="K14" s="12">
        <v>145</v>
      </c>
      <c r="L14" s="12">
        <v>160</v>
      </c>
      <c r="M14" s="12">
        <v>120</v>
      </c>
      <c r="N14" s="12">
        <v>183</v>
      </c>
      <c r="O14" s="12">
        <v>168</v>
      </c>
      <c r="P14" s="12"/>
      <c r="Q14" s="10">
        <f>MIN(K14:P14)</f>
        <v>120</v>
      </c>
      <c r="R14" s="20">
        <f>AVERAGE(K14:P14)</f>
        <v>155.2</v>
      </c>
      <c r="S14" s="10">
        <f>MEDIAN(K14:P14)</f>
        <v>160</v>
      </c>
      <c r="T14" s="15">
        <f>STDEV(K14:P14)/AVERAGE(K14:P14)</f>
        <v>0.15459889939423926</v>
      </c>
      <c r="U14" s="11">
        <f>R14</f>
        <v>155.2</v>
      </c>
      <c r="V14" s="11">
        <f>U14*D14</f>
        <v>108639.99999999999</v>
      </c>
    </row>
    <row r="15" spans="2:22" ht="49.5" customHeight="1" thickBot="1">
      <c r="B15" s="44">
        <v>3</v>
      </c>
      <c r="C15" s="46"/>
      <c r="D15" s="7">
        <v>200</v>
      </c>
      <c r="E15" s="8" t="s">
        <v>25</v>
      </c>
      <c r="F15" s="57" t="s">
        <v>28</v>
      </c>
      <c r="G15" s="58"/>
      <c r="H15" s="58"/>
      <c r="I15" s="59"/>
      <c r="J15" s="25">
        <v>1860313</v>
      </c>
      <c r="K15" s="12">
        <v>1980</v>
      </c>
      <c r="L15" s="12">
        <v>1800</v>
      </c>
      <c r="M15" s="12">
        <v>890</v>
      </c>
      <c r="N15" s="12">
        <v>2123</v>
      </c>
      <c r="O15" s="12">
        <v>2155</v>
      </c>
      <c r="P15" s="12"/>
      <c r="Q15" s="10">
        <f>MIN(K15:P15)</f>
        <v>890</v>
      </c>
      <c r="R15" s="10">
        <f>AVERAGE(K15:P15)</f>
        <v>1789.6</v>
      </c>
      <c r="S15" s="20">
        <f>MEDIAN(K15:P15)</f>
        <v>1980</v>
      </c>
      <c r="T15" s="15">
        <f>STDEV(K15:P15)/AVERAGE(K15:P15)</f>
        <v>0.2917357609840062</v>
      </c>
      <c r="U15" s="11">
        <f aca="true" t="shared" si="0" ref="U15">S15</f>
        <v>1980</v>
      </c>
      <c r="V15" s="11">
        <f>U15*D15</f>
        <v>396000</v>
      </c>
    </row>
    <row r="16" spans="2:22" ht="21" customHeight="1">
      <c r="B16" s="84" t="s">
        <v>29</v>
      </c>
      <c r="C16" s="85"/>
      <c r="D16" s="85"/>
      <c r="E16" s="85"/>
      <c r="F16" s="85"/>
      <c r="G16" s="85"/>
      <c r="H16" s="85"/>
      <c r="I16" s="85"/>
      <c r="J16" s="85"/>
      <c r="K16" s="85"/>
      <c r="L16" s="85"/>
      <c r="M16" s="85"/>
      <c r="N16" s="85"/>
      <c r="O16" s="85"/>
      <c r="P16" s="85"/>
      <c r="Q16" s="85"/>
      <c r="R16" s="85"/>
      <c r="S16" s="85"/>
      <c r="T16" s="85"/>
      <c r="U16" s="86"/>
      <c r="V16" s="14">
        <f>SUM(V13:V15)</f>
        <v>41449040</v>
      </c>
    </row>
    <row r="17" spans="2:22" ht="15">
      <c r="B17" s="48" t="s">
        <v>30</v>
      </c>
      <c r="C17" s="49"/>
      <c r="D17" s="49"/>
      <c r="E17" s="49"/>
      <c r="F17" s="49"/>
      <c r="G17" s="49"/>
      <c r="H17" s="49"/>
      <c r="I17" s="49"/>
      <c r="J17" s="49"/>
      <c r="K17" s="49"/>
      <c r="L17" s="49"/>
      <c r="M17" s="49"/>
      <c r="N17" s="49"/>
      <c r="O17" s="49"/>
      <c r="P17" s="49"/>
      <c r="Q17" s="49"/>
      <c r="R17" s="49"/>
      <c r="S17" s="49"/>
      <c r="T17" s="49"/>
      <c r="U17" s="49"/>
      <c r="V17" s="50"/>
    </row>
    <row r="18" spans="2:22" ht="21.75" customHeight="1">
      <c r="B18" s="63" t="s">
        <v>6</v>
      </c>
      <c r="C18" s="64"/>
      <c r="D18" s="100" t="s">
        <v>7</v>
      </c>
      <c r="E18" s="91" t="s">
        <v>8</v>
      </c>
      <c r="F18" s="63" t="s">
        <v>9</v>
      </c>
      <c r="G18" s="94"/>
      <c r="H18" s="94"/>
      <c r="I18" s="64"/>
      <c r="J18" s="91" t="s">
        <v>10</v>
      </c>
      <c r="K18" s="87" t="s">
        <v>11</v>
      </c>
      <c r="L18" s="88"/>
      <c r="M18" s="88"/>
      <c r="N18" s="88"/>
      <c r="O18" s="88"/>
      <c r="P18" s="89"/>
      <c r="Q18" s="73" t="s">
        <v>12</v>
      </c>
      <c r="R18" s="74"/>
      <c r="S18" s="103"/>
      <c r="T18" s="60" t="s">
        <v>13</v>
      </c>
      <c r="U18" s="69" t="s">
        <v>14</v>
      </c>
      <c r="V18" s="70"/>
    </row>
    <row r="19" spans="2:22" ht="24" customHeight="1">
      <c r="B19" s="65"/>
      <c r="C19" s="66"/>
      <c r="D19" s="101"/>
      <c r="E19" s="92"/>
      <c r="F19" s="65"/>
      <c r="G19" s="95"/>
      <c r="H19" s="95"/>
      <c r="I19" s="66"/>
      <c r="J19" s="92"/>
      <c r="K19" s="3" t="s">
        <v>15</v>
      </c>
      <c r="L19" s="3" t="s">
        <v>16</v>
      </c>
      <c r="M19" s="3" t="s">
        <v>17</v>
      </c>
      <c r="N19" s="4" t="s">
        <v>18</v>
      </c>
      <c r="O19" s="4" t="s">
        <v>19</v>
      </c>
      <c r="P19" s="4"/>
      <c r="Q19" s="75"/>
      <c r="R19" s="76"/>
      <c r="S19" s="104"/>
      <c r="T19" s="61"/>
      <c r="U19" s="71"/>
      <c r="V19" s="72"/>
    </row>
    <row r="20" spans="2:22" ht="15">
      <c r="B20" s="67"/>
      <c r="C20" s="68"/>
      <c r="D20" s="102"/>
      <c r="E20" s="93"/>
      <c r="F20" s="67"/>
      <c r="G20" s="96"/>
      <c r="H20" s="96"/>
      <c r="I20" s="68"/>
      <c r="J20" s="93"/>
      <c r="K20" s="2" t="s">
        <v>12</v>
      </c>
      <c r="L20" s="2" t="s">
        <v>12</v>
      </c>
      <c r="M20" s="2" t="s">
        <v>12</v>
      </c>
      <c r="N20" s="2" t="s">
        <v>12</v>
      </c>
      <c r="O20" s="2" t="s">
        <v>12</v>
      </c>
      <c r="P20" s="2"/>
      <c r="Q20" s="5" t="s">
        <v>20</v>
      </c>
      <c r="R20" s="5" t="s">
        <v>31</v>
      </c>
      <c r="S20" s="5" t="s">
        <v>22</v>
      </c>
      <c r="T20" s="62"/>
      <c r="U20" s="6" t="s">
        <v>32</v>
      </c>
      <c r="V20" s="6" t="s">
        <v>24</v>
      </c>
    </row>
    <row r="21" spans="2:22" ht="91.5" customHeight="1">
      <c r="B21" s="44">
        <v>1</v>
      </c>
      <c r="C21" s="46"/>
      <c r="D21" s="7">
        <v>100</v>
      </c>
      <c r="E21" s="8" t="s">
        <v>25</v>
      </c>
      <c r="F21" s="57" t="s">
        <v>33</v>
      </c>
      <c r="G21" s="58"/>
      <c r="H21" s="58"/>
      <c r="I21" s="59"/>
      <c r="J21" s="21">
        <v>1865773</v>
      </c>
      <c r="K21" s="13">
        <v>27680</v>
      </c>
      <c r="L21" s="13">
        <v>17500</v>
      </c>
      <c r="M21" s="13">
        <v>12599</v>
      </c>
      <c r="N21" s="13">
        <v>30005</v>
      </c>
      <c r="O21" s="13">
        <v>30110</v>
      </c>
      <c r="P21" s="13"/>
      <c r="Q21" s="10">
        <f>MIN(K21:P21)</f>
        <v>12599</v>
      </c>
      <c r="R21" s="10">
        <f>AVERAGE(K21:P21)</f>
        <v>23578.8</v>
      </c>
      <c r="S21" s="20">
        <f>MEDIAN(K21:P21)</f>
        <v>27680</v>
      </c>
      <c r="T21" s="15">
        <f>STDEV(K21:P21)/AVERAGE(K21:P21)</f>
        <v>0.3407955607139911</v>
      </c>
      <c r="U21" s="11">
        <f>S21</f>
        <v>27680</v>
      </c>
      <c r="V21" s="11">
        <f>U21*D21</f>
        <v>2768000</v>
      </c>
    </row>
    <row r="22" spans="2:22" ht="21.75" customHeight="1">
      <c r="B22" s="51" t="s">
        <v>34</v>
      </c>
      <c r="C22" s="52"/>
      <c r="D22" s="52"/>
      <c r="E22" s="52"/>
      <c r="F22" s="52"/>
      <c r="G22" s="52"/>
      <c r="H22" s="52"/>
      <c r="I22" s="52"/>
      <c r="J22" s="52"/>
      <c r="K22" s="52"/>
      <c r="L22" s="52"/>
      <c r="M22" s="52"/>
      <c r="N22" s="52"/>
      <c r="O22" s="52"/>
      <c r="P22" s="52"/>
      <c r="Q22" s="52"/>
      <c r="R22" s="52"/>
      <c r="S22" s="52"/>
      <c r="T22" s="52"/>
      <c r="U22" s="53"/>
      <c r="V22" s="14">
        <f>SUM(V21:V21)</f>
        <v>2768000</v>
      </c>
    </row>
    <row r="23" spans="2:22" ht="15">
      <c r="B23" s="105" t="s">
        <v>35</v>
      </c>
      <c r="C23" s="105"/>
      <c r="D23" s="105"/>
      <c r="E23" s="105"/>
      <c r="F23" s="105"/>
      <c r="G23" s="105"/>
      <c r="H23" s="105"/>
      <c r="I23" s="105"/>
      <c r="J23" s="105"/>
      <c r="K23" s="105"/>
      <c r="L23" s="105"/>
      <c r="M23" s="105"/>
      <c r="N23" s="105"/>
      <c r="O23" s="105"/>
      <c r="P23" s="105"/>
      <c r="Q23" s="105"/>
      <c r="R23" s="105"/>
      <c r="S23" s="105"/>
      <c r="T23" s="105"/>
      <c r="U23" s="105"/>
      <c r="V23" s="105"/>
    </row>
    <row r="24" spans="2:22" ht="21.75" customHeight="1">
      <c r="B24" s="63" t="s">
        <v>6</v>
      </c>
      <c r="C24" s="64"/>
      <c r="D24" s="99" t="s">
        <v>7</v>
      </c>
      <c r="E24" s="98" t="s">
        <v>8</v>
      </c>
      <c r="F24" s="63" t="s">
        <v>9</v>
      </c>
      <c r="G24" s="94"/>
      <c r="H24" s="94"/>
      <c r="I24" s="64"/>
      <c r="J24" s="91" t="s">
        <v>10</v>
      </c>
      <c r="K24" s="87" t="s">
        <v>11</v>
      </c>
      <c r="L24" s="88"/>
      <c r="M24" s="88"/>
      <c r="N24" s="88"/>
      <c r="O24" s="88"/>
      <c r="P24" s="89"/>
      <c r="Q24" s="73" t="s">
        <v>12</v>
      </c>
      <c r="R24" s="74"/>
      <c r="S24" s="74"/>
      <c r="T24" s="60" t="s">
        <v>13</v>
      </c>
      <c r="U24" s="106" t="s">
        <v>14</v>
      </c>
      <c r="V24" s="106"/>
    </row>
    <row r="25" spans="2:22" ht="15">
      <c r="B25" s="65"/>
      <c r="C25" s="66"/>
      <c r="D25" s="99"/>
      <c r="E25" s="98"/>
      <c r="F25" s="65"/>
      <c r="G25" s="95"/>
      <c r="H25" s="95"/>
      <c r="I25" s="66"/>
      <c r="J25" s="92"/>
      <c r="K25" s="3" t="s">
        <v>15</v>
      </c>
      <c r="L25" s="3" t="s">
        <v>16</v>
      </c>
      <c r="M25" s="3" t="s">
        <v>17</v>
      </c>
      <c r="N25" s="4" t="s">
        <v>18</v>
      </c>
      <c r="O25" s="4" t="s">
        <v>19</v>
      </c>
      <c r="P25" s="4"/>
      <c r="Q25" s="75"/>
      <c r="R25" s="76"/>
      <c r="S25" s="76"/>
      <c r="T25" s="61"/>
      <c r="U25" s="106"/>
      <c r="V25" s="106"/>
    </row>
    <row r="26" spans="2:22" ht="15">
      <c r="B26" s="67"/>
      <c r="C26" s="68"/>
      <c r="D26" s="99"/>
      <c r="E26" s="98"/>
      <c r="F26" s="67"/>
      <c r="G26" s="96"/>
      <c r="H26" s="96"/>
      <c r="I26" s="68"/>
      <c r="J26" s="93"/>
      <c r="K26" s="2" t="s">
        <v>12</v>
      </c>
      <c r="L26" s="2" t="s">
        <v>12</v>
      </c>
      <c r="M26" s="2" t="s">
        <v>12</v>
      </c>
      <c r="N26" s="2" t="s">
        <v>12</v>
      </c>
      <c r="O26" s="2" t="s">
        <v>12</v>
      </c>
      <c r="P26" s="2"/>
      <c r="Q26" s="5" t="s">
        <v>20</v>
      </c>
      <c r="R26" s="5" t="s">
        <v>31</v>
      </c>
      <c r="S26" s="5" t="s">
        <v>22</v>
      </c>
      <c r="T26" s="62"/>
      <c r="U26" s="6" t="s">
        <v>32</v>
      </c>
      <c r="V26" s="6" t="s">
        <v>24</v>
      </c>
    </row>
    <row r="27" spans="2:22" ht="106.5" customHeight="1">
      <c r="B27" s="44">
        <v>1</v>
      </c>
      <c r="C27" s="46"/>
      <c r="D27" s="7">
        <v>1500</v>
      </c>
      <c r="E27" s="8" t="s">
        <v>25</v>
      </c>
      <c r="F27" s="54" t="s">
        <v>36</v>
      </c>
      <c r="G27" s="54"/>
      <c r="H27" s="54"/>
      <c r="I27" s="54"/>
      <c r="J27" s="21">
        <v>1864173</v>
      </c>
      <c r="K27" s="13">
        <v>18060</v>
      </c>
      <c r="L27" s="13">
        <v>11500</v>
      </c>
      <c r="M27" s="13">
        <v>10799</v>
      </c>
      <c r="N27" s="13">
        <v>18998</v>
      </c>
      <c r="O27" s="13">
        <v>19055</v>
      </c>
      <c r="P27" s="13"/>
      <c r="Q27" s="10">
        <f>MIN(K27:P27)</f>
        <v>10799</v>
      </c>
      <c r="R27" s="10">
        <f>AVERAGE(K27:P27)</f>
        <v>15682.4</v>
      </c>
      <c r="S27" s="20">
        <f>MEDIAN(K27:P27)</f>
        <v>18060</v>
      </c>
      <c r="T27" s="15">
        <f>STDEV(K27:P27)/AVERAGE(K27:P27)</f>
        <v>0.26553034045284063</v>
      </c>
      <c r="U27" s="11">
        <f>S27</f>
        <v>18060</v>
      </c>
      <c r="V27" s="11">
        <f>U27*D27</f>
        <v>27090000</v>
      </c>
    </row>
    <row r="28" spans="2:22" ht="24.75" customHeight="1">
      <c r="B28" s="51" t="s">
        <v>37</v>
      </c>
      <c r="C28" s="52"/>
      <c r="D28" s="52"/>
      <c r="E28" s="52"/>
      <c r="F28" s="52"/>
      <c r="G28" s="52"/>
      <c r="H28" s="52"/>
      <c r="I28" s="52"/>
      <c r="J28" s="52"/>
      <c r="K28" s="52"/>
      <c r="L28" s="52"/>
      <c r="M28" s="52"/>
      <c r="N28" s="52"/>
      <c r="O28" s="52"/>
      <c r="P28" s="52"/>
      <c r="Q28" s="52"/>
      <c r="R28" s="52"/>
      <c r="S28" s="52"/>
      <c r="T28" s="52"/>
      <c r="U28" s="53"/>
      <c r="V28" s="14">
        <f>SUM(V27:V27)</f>
        <v>27090000</v>
      </c>
    </row>
    <row r="29" spans="2:22" ht="15">
      <c r="B29" s="105" t="s">
        <v>38</v>
      </c>
      <c r="C29" s="105"/>
      <c r="D29" s="105"/>
      <c r="E29" s="105"/>
      <c r="F29" s="105"/>
      <c r="G29" s="105"/>
      <c r="H29" s="105"/>
      <c r="I29" s="105"/>
      <c r="J29" s="105"/>
      <c r="K29" s="105"/>
      <c r="L29" s="105"/>
      <c r="M29" s="105"/>
      <c r="N29" s="105"/>
      <c r="O29" s="105"/>
      <c r="P29" s="105"/>
      <c r="Q29" s="105"/>
      <c r="R29" s="105"/>
      <c r="S29" s="105"/>
      <c r="T29" s="105"/>
      <c r="U29" s="105"/>
      <c r="V29" s="105"/>
    </row>
    <row r="30" spans="2:22" ht="20.25" customHeight="1">
      <c r="B30" s="63" t="s">
        <v>6</v>
      </c>
      <c r="C30" s="64"/>
      <c r="D30" s="99" t="s">
        <v>7</v>
      </c>
      <c r="E30" s="98" t="s">
        <v>8</v>
      </c>
      <c r="F30" s="63" t="s">
        <v>9</v>
      </c>
      <c r="G30" s="94"/>
      <c r="H30" s="94"/>
      <c r="I30" s="64"/>
      <c r="J30" s="91" t="s">
        <v>10</v>
      </c>
      <c r="K30" s="87" t="s">
        <v>11</v>
      </c>
      <c r="L30" s="88"/>
      <c r="M30" s="89"/>
      <c r="N30" s="23"/>
      <c r="O30" s="22"/>
      <c r="P30" s="16"/>
      <c r="Q30" s="73" t="s">
        <v>12</v>
      </c>
      <c r="R30" s="74"/>
      <c r="S30" s="74"/>
      <c r="T30" s="60" t="s">
        <v>13</v>
      </c>
      <c r="U30" s="106" t="s">
        <v>14</v>
      </c>
      <c r="V30" s="106"/>
    </row>
    <row r="31" spans="2:22" ht="15">
      <c r="B31" s="65"/>
      <c r="C31" s="66"/>
      <c r="D31" s="99"/>
      <c r="E31" s="98"/>
      <c r="F31" s="65"/>
      <c r="G31" s="95"/>
      <c r="H31" s="95"/>
      <c r="I31" s="66"/>
      <c r="J31" s="92"/>
      <c r="K31" s="3" t="s">
        <v>15</v>
      </c>
      <c r="L31" s="3" t="s">
        <v>18</v>
      </c>
      <c r="M31" s="3" t="s">
        <v>19</v>
      </c>
      <c r="N31" s="4"/>
      <c r="O31" s="4"/>
      <c r="P31" s="4"/>
      <c r="Q31" s="75"/>
      <c r="R31" s="76"/>
      <c r="S31" s="76"/>
      <c r="T31" s="61"/>
      <c r="U31" s="106"/>
      <c r="V31" s="106"/>
    </row>
    <row r="32" spans="2:22" ht="15">
      <c r="B32" s="67"/>
      <c r="C32" s="68"/>
      <c r="D32" s="99"/>
      <c r="E32" s="98"/>
      <c r="F32" s="67"/>
      <c r="G32" s="96"/>
      <c r="H32" s="96"/>
      <c r="I32" s="68"/>
      <c r="J32" s="93"/>
      <c r="K32" s="2" t="s">
        <v>12</v>
      </c>
      <c r="L32" s="2" t="s">
        <v>12</v>
      </c>
      <c r="M32" s="2" t="s">
        <v>12</v>
      </c>
      <c r="N32" s="2"/>
      <c r="O32" s="2"/>
      <c r="P32" s="2"/>
      <c r="Q32" s="5" t="s">
        <v>20</v>
      </c>
      <c r="R32" s="5" t="s">
        <v>31</v>
      </c>
      <c r="S32" s="5" t="s">
        <v>22</v>
      </c>
      <c r="T32" s="62"/>
      <c r="U32" s="6" t="s">
        <v>32</v>
      </c>
      <c r="V32" s="6" t="s">
        <v>24</v>
      </c>
    </row>
    <row r="33" spans="2:22" ht="89.25" customHeight="1">
      <c r="B33" s="44">
        <v>1</v>
      </c>
      <c r="C33" s="46"/>
      <c r="D33" s="7">
        <v>1</v>
      </c>
      <c r="E33" s="8" t="s">
        <v>25</v>
      </c>
      <c r="F33" s="54" t="s">
        <v>39</v>
      </c>
      <c r="G33" s="54"/>
      <c r="H33" s="54"/>
      <c r="I33" s="54"/>
      <c r="J33" s="21">
        <v>1866117</v>
      </c>
      <c r="K33" s="13">
        <v>103875</v>
      </c>
      <c r="L33" s="13">
        <v>112500</v>
      </c>
      <c r="M33" s="13">
        <v>114350</v>
      </c>
      <c r="N33" s="13"/>
      <c r="O33" s="13"/>
      <c r="P33" s="13"/>
      <c r="Q33" s="10">
        <f>MIN(K33:P33)</f>
        <v>103875</v>
      </c>
      <c r="R33" s="20">
        <f>AVERAGE(K33:P33)</f>
        <v>110241.66666666667</v>
      </c>
      <c r="S33" s="10">
        <f>MEDIAN(K33:P33)</f>
        <v>112500</v>
      </c>
      <c r="T33" s="15">
        <f>STDEV(K33:P33)/AVERAGE(K33:P33)</f>
        <v>0.05071356170354327</v>
      </c>
      <c r="U33" s="11">
        <f>R33</f>
        <v>110241.66666666667</v>
      </c>
      <c r="V33" s="11">
        <f>U33*D33</f>
        <v>110241.66666666667</v>
      </c>
    </row>
    <row r="34" spans="2:22" ht="23.25" customHeight="1">
      <c r="B34" s="51" t="s">
        <v>40</v>
      </c>
      <c r="C34" s="52"/>
      <c r="D34" s="52"/>
      <c r="E34" s="52"/>
      <c r="F34" s="52"/>
      <c r="G34" s="52"/>
      <c r="H34" s="52"/>
      <c r="I34" s="52"/>
      <c r="J34" s="52"/>
      <c r="K34" s="52"/>
      <c r="L34" s="52"/>
      <c r="M34" s="52"/>
      <c r="N34" s="52"/>
      <c r="O34" s="52"/>
      <c r="P34" s="52"/>
      <c r="Q34" s="52"/>
      <c r="R34" s="52"/>
      <c r="S34" s="52"/>
      <c r="T34" s="52"/>
      <c r="U34" s="53"/>
      <c r="V34" s="14">
        <f>SUM(V33:V33)</f>
        <v>110241.66666666667</v>
      </c>
    </row>
    <row r="35" spans="2:22" ht="15">
      <c r="B35" s="105" t="s">
        <v>41</v>
      </c>
      <c r="C35" s="105"/>
      <c r="D35" s="105"/>
      <c r="E35" s="105"/>
      <c r="F35" s="105"/>
      <c r="G35" s="105"/>
      <c r="H35" s="105"/>
      <c r="I35" s="105"/>
      <c r="J35" s="105"/>
      <c r="K35" s="105"/>
      <c r="L35" s="105"/>
      <c r="M35" s="105"/>
      <c r="N35" s="105"/>
      <c r="O35" s="105"/>
      <c r="P35" s="105"/>
      <c r="Q35" s="105"/>
      <c r="R35" s="105"/>
      <c r="S35" s="105"/>
      <c r="T35" s="105"/>
      <c r="U35" s="105"/>
      <c r="V35" s="105"/>
    </row>
    <row r="36" spans="2:22" ht="19.5" customHeight="1">
      <c r="B36" s="63" t="s">
        <v>6</v>
      </c>
      <c r="C36" s="64"/>
      <c r="D36" s="99" t="s">
        <v>7</v>
      </c>
      <c r="E36" s="98" t="s">
        <v>8</v>
      </c>
      <c r="F36" s="63" t="s">
        <v>9</v>
      </c>
      <c r="G36" s="94"/>
      <c r="H36" s="94"/>
      <c r="I36" s="64"/>
      <c r="J36" s="91" t="s">
        <v>10</v>
      </c>
      <c r="K36" s="87" t="s">
        <v>11</v>
      </c>
      <c r="L36" s="88"/>
      <c r="M36" s="88"/>
      <c r="N36" s="16"/>
      <c r="O36" s="16"/>
      <c r="P36" s="16"/>
      <c r="Q36" s="73" t="s">
        <v>12</v>
      </c>
      <c r="R36" s="74"/>
      <c r="S36" s="74"/>
      <c r="T36" s="60" t="s">
        <v>13</v>
      </c>
      <c r="U36" s="106" t="s">
        <v>14</v>
      </c>
      <c r="V36" s="106"/>
    </row>
    <row r="37" spans="2:22" ht="15">
      <c r="B37" s="65"/>
      <c r="C37" s="66"/>
      <c r="D37" s="99"/>
      <c r="E37" s="98"/>
      <c r="F37" s="65"/>
      <c r="G37" s="95"/>
      <c r="H37" s="95"/>
      <c r="I37" s="66"/>
      <c r="J37" s="92"/>
      <c r="K37" s="3" t="s">
        <v>15</v>
      </c>
      <c r="L37" s="3" t="s">
        <v>18</v>
      </c>
      <c r="M37" s="3" t="s">
        <v>19</v>
      </c>
      <c r="N37" s="4"/>
      <c r="O37" s="4"/>
      <c r="P37" s="4"/>
      <c r="Q37" s="75"/>
      <c r="R37" s="76"/>
      <c r="S37" s="76"/>
      <c r="T37" s="61"/>
      <c r="U37" s="106"/>
      <c r="V37" s="106"/>
    </row>
    <row r="38" spans="2:22" ht="15">
      <c r="B38" s="67"/>
      <c r="C38" s="68"/>
      <c r="D38" s="99"/>
      <c r="E38" s="98"/>
      <c r="F38" s="67"/>
      <c r="G38" s="96"/>
      <c r="H38" s="96"/>
      <c r="I38" s="68"/>
      <c r="J38" s="93"/>
      <c r="K38" s="2" t="s">
        <v>12</v>
      </c>
      <c r="L38" s="2" t="s">
        <v>12</v>
      </c>
      <c r="M38" s="2" t="s">
        <v>12</v>
      </c>
      <c r="N38" s="2"/>
      <c r="O38" s="2"/>
      <c r="P38" s="2"/>
      <c r="Q38" s="5" t="s">
        <v>20</v>
      </c>
      <c r="R38" s="5" t="s">
        <v>31</v>
      </c>
      <c r="S38" s="5" t="s">
        <v>22</v>
      </c>
      <c r="T38" s="62"/>
      <c r="U38" s="6" t="s">
        <v>32</v>
      </c>
      <c r="V38" s="6" t="s">
        <v>24</v>
      </c>
    </row>
    <row r="39" spans="2:22" ht="91.5" customHeight="1">
      <c r="B39" s="44">
        <v>1</v>
      </c>
      <c r="C39" s="46"/>
      <c r="D39" s="7">
        <v>1</v>
      </c>
      <c r="E39" s="8" t="s">
        <v>25</v>
      </c>
      <c r="F39" s="54" t="s">
        <v>42</v>
      </c>
      <c r="G39" s="54"/>
      <c r="H39" s="54"/>
      <c r="I39" s="54"/>
      <c r="J39" s="21">
        <v>1866133</v>
      </c>
      <c r="K39" s="13">
        <v>186528</v>
      </c>
      <c r="L39" s="13">
        <v>194750</v>
      </c>
      <c r="M39" s="13">
        <v>199999</v>
      </c>
      <c r="N39" s="13"/>
      <c r="O39" s="13"/>
      <c r="P39" s="13"/>
      <c r="Q39" s="10">
        <f>MIN(K39:P39)</f>
        <v>186528</v>
      </c>
      <c r="R39" s="20">
        <f>AVERAGE(K39:P39)</f>
        <v>193759</v>
      </c>
      <c r="S39" s="10">
        <f>MEDIAN(K39:P39)</f>
        <v>194750</v>
      </c>
      <c r="T39" s="15">
        <f>STDEV(K39:P39)/AVERAGE(K39:P39)</f>
        <v>0.03504331341324216</v>
      </c>
      <c r="U39" s="11">
        <f>R39</f>
        <v>193759</v>
      </c>
      <c r="V39" s="11">
        <f>U39*D39</f>
        <v>193759</v>
      </c>
    </row>
    <row r="40" spans="2:22" ht="21" customHeight="1">
      <c r="B40" s="51" t="s">
        <v>43</v>
      </c>
      <c r="C40" s="52"/>
      <c r="D40" s="52"/>
      <c r="E40" s="52"/>
      <c r="F40" s="52"/>
      <c r="G40" s="52"/>
      <c r="H40" s="52"/>
      <c r="I40" s="52"/>
      <c r="J40" s="52"/>
      <c r="K40" s="52"/>
      <c r="L40" s="52"/>
      <c r="M40" s="52"/>
      <c r="N40" s="52"/>
      <c r="O40" s="52"/>
      <c r="P40" s="52"/>
      <c r="Q40" s="52"/>
      <c r="R40" s="52"/>
      <c r="S40" s="52"/>
      <c r="T40" s="52"/>
      <c r="U40" s="53"/>
      <c r="V40" s="14">
        <f>SUM(V39:V39)</f>
        <v>193759</v>
      </c>
    </row>
    <row r="41" spans="2:22" ht="15">
      <c r="B41" s="105" t="s">
        <v>44</v>
      </c>
      <c r="C41" s="105"/>
      <c r="D41" s="105"/>
      <c r="E41" s="105"/>
      <c r="F41" s="105"/>
      <c r="G41" s="105"/>
      <c r="H41" s="105"/>
      <c r="I41" s="105"/>
      <c r="J41" s="105"/>
      <c r="K41" s="105"/>
      <c r="L41" s="105"/>
      <c r="M41" s="105"/>
      <c r="N41" s="105"/>
      <c r="O41" s="105"/>
      <c r="P41" s="105"/>
      <c r="Q41" s="105"/>
      <c r="R41" s="105"/>
      <c r="S41" s="105"/>
      <c r="T41" s="105"/>
      <c r="U41" s="105"/>
      <c r="V41" s="105"/>
    </row>
    <row r="42" spans="2:22" ht="18.75" customHeight="1">
      <c r="B42" s="63" t="s">
        <v>6</v>
      </c>
      <c r="C42" s="64"/>
      <c r="D42" s="99" t="s">
        <v>7</v>
      </c>
      <c r="E42" s="98" t="s">
        <v>8</v>
      </c>
      <c r="F42" s="63" t="s">
        <v>9</v>
      </c>
      <c r="G42" s="94"/>
      <c r="H42" s="94"/>
      <c r="I42" s="64"/>
      <c r="J42" s="91" t="s">
        <v>10</v>
      </c>
      <c r="K42" s="16" t="s">
        <v>45</v>
      </c>
      <c r="L42" s="87" t="s">
        <v>46</v>
      </c>
      <c r="M42" s="88"/>
      <c r="N42" s="88"/>
      <c r="O42" s="89"/>
      <c r="P42" s="16" t="s">
        <v>47</v>
      </c>
      <c r="Q42" s="73" t="s">
        <v>12</v>
      </c>
      <c r="R42" s="74"/>
      <c r="S42" s="74"/>
      <c r="T42" s="60" t="s">
        <v>13</v>
      </c>
      <c r="U42" s="106" t="s">
        <v>14</v>
      </c>
      <c r="V42" s="106"/>
    </row>
    <row r="43" spans="2:22" ht="26.25" customHeight="1">
      <c r="B43" s="65"/>
      <c r="C43" s="66"/>
      <c r="D43" s="99"/>
      <c r="E43" s="98"/>
      <c r="F43" s="65"/>
      <c r="G43" s="95"/>
      <c r="H43" s="95"/>
      <c r="I43" s="66"/>
      <c r="J43" s="92"/>
      <c r="K43" s="3" t="s">
        <v>19</v>
      </c>
      <c r="L43" s="3" t="s">
        <v>48</v>
      </c>
      <c r="M43" s="3" t="s">
        <v>49</v>
      </c>
      <c r="N43" s="4" t="s">
        <v>50</v>
      </c>
      <c r="O43" s="4" t="s">
        <v>51</v>
      </c>
      <c r="P43" s="4" t="s">
        <v>52</v>
      </c>
      <c r="Q43" s="75"/>
      <c r="R43" s="76"/>
      <c r="S43" s="76"/>
      <c r="T43" s="61"/>
      <c r="U43" s="106"/>
      <c r="V43" s="106"/>
    </row>
    <row r="44" spans="2:22" ht="15.75" thickBot="1">
      <c r="B44" s="67"/>
      <c r="C44" s="68"/>
      <c r="D44" s="99"/>
      <c r="E44" s="98"/>
      <c r="F44" s="67"/>
      <c r="G44" s="96"/>
      <c r="H44" s="96"/>
      <c r="I44" s="68"/>
      <c r="J44" s="93"/>
      <c r="K44" s="2" t="s">
        <v>12</v>
      </c>
      <c r="L44" s="2" t="s">
        <v>12</v>
      </c>
      <c r="M44" s="2" t="s">
        <v>12</v>
      </c>
      <c r="N44" s="2" t="s">
        <v>12</v>
      </c>
      <c r="O44" s="2" t="s">
        <v>12</v>
      </c>
      <c r="P44" s="2" t="s">
        <v>12</v>
      </c>
      <c r="Q44" s="5" t="s">
        <v>20</v>
      </c>
      <c r="R44" s="5" t="s">
        <v>31</v>
      </c>
      <c r="S44" s="5" t="s">
        <v>22</v>
      </c>
      <c r="T44" s="62"/>
      <c r="U44" s="6" t="s">
        <v>32</v>
      </c>
      <c r="V44" s="6" t="s">
        <v>24</v>
      </c>
    </row>
    <row r="45" spans="2:22" ht="62.25" customHeight="1" thickBot="1">
      <c r="B45" s="44">
        <v>1</v>
      </c>
      <c r="C45" s="46"/>
      <c r="D45" s="7">
        <v>300</v>
      </c>
      <c r="E45" s="8" t="s">
        <v>25</v>
      </c>
      <c r="F45" s="54" t="s">
        <v>53</v>
      </c>
      <c r="G45" s="54"/>
      <c r="H45" s="54"/>
      <c r="I45" s="54"/>
      <c r="J45" s="24">
        <v>1540491</v>
      </c>
      <c r="K45" s="13">
        <v>350</v>
      </c>
      <c r="L45" s="13">
        <v>239.99</v>
      </c>
      <c r="M45" s="13">
        <v>250</v>
      </c>
      <c r="N45" s="13">
        <v>255.18</v>
      </c>
      <c r="O45" s="13">
        <v>208.99</v>
      </c>
      <c r="P45" s="13">
        <v>299</v>
      </c>
      <c r="Q45" s="10">
        <f>MIN(K45:P45)</f>
        <v>208.99</v>
      </c>
      <c r="R45" s="20">
        <f>AVERAGE(K45:P45)</f>
        <v>267.1933333333333</v>
      </c>
      <c r="S45" s="10">
        <f>MEDIAN(K45:P45)</f>
        <v>252.59</v>
      </c>
      <c r="T45" s="15">
        <f>STDEV(K45:P45)/AVERAGE(K45:P45)</f>
        <v>0.18665216212646857</v>
      </c>
      <c r="U45" s="11">
        <f>R45</f>
        <v>267.1933333333333</v>
      </c>
      <c r="V45" s="11">
        <f>U45*D45</f>
        <v>80158</v>
      </c>
    </row>
    <row r="46" spans="2:22" ht="60" customHeight="1" thickBot="1">
      <c r="B46" s="44">
        <v>2</v>
      </c>
      <c r="C46" s="46"/>
      <c r="D46" s="7">
        <v>300</v>
      </c>
      <c r="E46" s="8" t="s">
        <v>25</v>
      </c>
      <c r="F46" s="57" t="s">
        <v>54</v>
      </c>
      <c r="G46" s="58"/>
      <c r="H46" s="58"/>
      <c r="I46" s="59"/>
      <c r="J46" s="25">
        <v>1582607</v>
      </c>
      <c r="K46" s="13">
        <v>180</v>
      </c>
      <c r="L46" s="13">
        <v>66.3</v>
      </c>
      <c r="M46" s="13">
        <v>59</v>
      </c>
      <c r="N46" s="13">
        <v>82.24</v>
      </c>
      <c r="O46" s="13">
        <v>27</v>
      </c>
      <c r="P46" s="13">
        <v>48.56</v>
      </c>
      <c r="Q46" s="10">
        <f>MIN(K46:P46)</f>
        <v>27</v>
      </c>
      <c r="R46" s="10">
        <f>AVERAGE(K46:P46)</f>
        <v>77.18333333333334</v>
      </c>
      <c r="S46" s="20">
        <f>MEDIAN(K46:P46)</f>
        <v>62.65</v>
      </c>
      <c r="T46" s="15">
        <f>STDEV(K46:P46)/AVERAGE(K46:P46)</f>
        <v>0.6949042323370846</v>
      </c>
      <c r="U46" s="11">
        <f aca="true" t="shared" si="1" ref="U46">S46</f>
        <v>62.65</v>
      </c>
      <c r="V46" s="11">
        <f>U46*D46</f>
        <v>18795</v>
      </c>
    </row>
    <row r="47" spans="2:22" ht="21.75" customHeight="1">
      <c r="B47" s="51" t="s">
        <v>55</v>
      </c>
      <c r="C47" s="52"/>
      <c r="D47" s="52"/>
      <c r="E47" s="52"/>
      <c r="F47" s="52"/>
      <c r="G47" s="52"/>
      <c r="H47" s="52"/>
      <c r="I47" s="52"/>
      <c r="J47" s="52"/>
      <c r="K47" s="52"/>
      <c r="L47" s="52"/>
      <c r="M47" s="52"/>
      <c r="N47" s="52"/>
      <c r="O47" s="52"/>
      <c r="P47" s="52"/>
      <c r="Q47" s="52"/>
      <c r="R47" s="52"/>
      <c r="S47" s="52"/>
      <c r="T47" s="52"/>
      <c r="U47" s="53"/>
      <c r="V47" s="14">
        <f>SUM(V45:V46)</f>
        <v>98953</v>
      </c>
    </row>
    <row r="48" spans="2:22" ht="18.75" customHeight="1">
      <c r="B48" s="17"/>
      <c r="C48" s="18"/>
      <c r="D48" s="18"/>
      <c r="E48" s="18"/>
      <c r="F48" s="18"/>
      <c r="G48" s="18"/>
      <c r="H48" s="18"/>
      <c r="I48" s="18"/>
      <c r="J48" s="18"/>
      <c r="K48" s="18"/>
      <c r="L48" s="18"/>
      <c r="M48" s="18"/>
      <c r="N48" s="18"/>
      <c r="O48" s="18"/>
      <c r="P48" s="18"/>
      <c r="Q48" s="18"/>
      <c r="R48" s="18"/>
      <c r="S48" s="18"/>
      <c r="T48" s="18"/>
      <c r="U48" s="18"/>
      <c r="V48" s="19"/>
    </row>
    <row r="49" spans="2:22" ht="16.5" customHeight="1">
      <c r="B49" s="44"/>
      <c r="C49" s="45"/>
      <c r="D49" s="45"/>
      <c r="E49" s="45"/>
      <c r="F49" s="45"/>
      <c r="G49" s="45"/>
      <c r="H49" s="45"/>
      <c r="I49" s="45"/>
      <c r="J49" s="45"/>
      <c r="K49" s="45"/>
      <c r="L49" s="45"/>
      <c r="M49" s="45"/>
      <c r="N49" s="45"/>
      <c r="O49" s="45"/>
      <c r="P49" s="45"/>
      <c r="Q49" s="45"/>
      <c r="R49" s="45"/>
      <c r="S49" s="45"/>
      <c r="T49" s="45"/>
      <c r="U49" s="45"/>
      <c r="V49" s="46"/>
    </row>
    <row r="50" spans="2:22" ht="15">
      <c r="B50" s="55" t="s">
        <v>56</v>
      </c>
      <c r="C50" s="56"/>
      <c r="D50" s="56"/>
      <c r="E50" s="56"/>
      <c r="F50" s="56"/>
      <c r="G50" s="56"/>
      <c r="H50" s="56"/>
      <c r="I50" s="56"/>
      <c r="J50" s="56"/>
      <c r="K50" s="56"/>
      <c r="L50" s="56"/>
      <c r="M50" s="56"/>
      <c r="N50" s="56"/>
      <c r="O50" s="56"/>
      <c r="P50" s="56"/>
      <c r="Q50" s="56"/>
      <c r="R50" s="56"/>
      <c r="S50" s="56"/>
      <c r="T50" s="56"/>
      <c r="U50" s="56"/>
      <c r="V50" s="56"/>
    </row>
    <row r="51" spans="2:22" ht="15">
      <c r="B51" s="56"/>
      <c r="C51" s="56"/>
      <c r="D51" s="56"/>
      <c r="E51" s="56"/>
      <c r="F51" s="56"/>
      <c r="G51" s="56"/>
      <c r="H51" s="56"/>
      <c r="I51" s="56"/>
      <c r="J51" s="56"/>
      <c r="K51" s="56"/>
      <c r="L51" s="56"/>
      <c r="M51" s="56"/>
      <c r="N51" s="56"/>
      <c r="O51" s="56"/>
      <c r="P51" s="56"/>
      <c r="Q51" s="56"/>
      <c r="R51" s="56"/>
      <c r="S51" s="56"/>
      <c r="T51" s="56"/>
      <c r="U51" s="56"/>
      <c r="V51" s="56"/>
    </row>
    <row r="52" spans="2:22" ht="15">
      <c r="B52" s="56"/>
      <c r="C52" s="56"/>
      <c r="D52" s="56"/>
      <c r="E52" s="56"/>
      <c r="F52" s="56"/>
      <c r="G52" s="56"/>
      <c r="H52" s="56"/>
      <c r="I52" s="56"/>
      <c r="J52" s="56"/>
      <c r="K52" s="56"/>
      <c r="L52" s="56"/>
      <c r="M52" s="56"/>
      <c r="N52" s="56"/>
      <c r="O52" s="56"/>
      <c r="P52" s="56"/>
      <c r="Q52" s="56"/>
      <c r="R52" s="56"/>
      <c r="S52" s="56"/>
      <c r="T52" s="56"/>
      <c r="U52" s="56"/>
      <c r="V52" s="56"/>
    </row>
    <row r="53" spans="2:22" ht="15">
      <c r="B53" s="56"/>
      <c r="C53" s="56"/>
      <c r="D53" s="56"/>
      <c r="E53" s="56"/>
      <c r="F53" s="56"/>
      <c r="G53" s="56"/>
      <c r="H53" s="56"/>
      <c r="I53" s="56"/>
      <c r="J53" s="56"/>
      <c r="K53" s="56"/>
      <c r="L53" s="56"/>
      <c r="M53" s="56"/>
      <c r="N53" s="56"/>
      <c r="O53" s="56"/>
      <c r="P53" s="56"/>
      <c r="Q53" s="56"/>
      <c r="R53" s="56"/>
      <c r="S53" s="56"/>
      <c r="T53" s="56"/>
      <c r="U53" s="56"/>
      <c r="V53" s="56"/>
    </row>
    <row r="54" spans="2:22" ht="15">
      <c r="B54" s="56"/>
      <c r="C54" s="56"/>
      <c r="D54" s="56"/>
      <c r="E54" s="56"/>
      <c r="F54" s="56"/>
      <c r="G54" s="56"/>
      <c r="H54" s="56"/>
      <c r="I54" s="56"/>
      <c r="J54" s="56"/>
      <c r="K54" s="56"/>
      <c r="L54" s="56"/>
      <c r="M54" s="56"/>
      <c r="N54" s="56"/>
      <c r="O54" s="56"/>
      <c r="P54" s="56"/>
      <c r="Q54" s="56"/>
      <c r="R54" s="56"/>
      <c r="S54" s="56"/>
      <c r="T54" s="56"/>
      <c r="U54" s="56"/>
      <c r="V54" s="56"/>
    </row>
    <row r="55" spans="2:22" ht="21" customHeight="1">
      <c r="B55" s="56"/>
      <c r="C55" s="56"/>
      <c r="D55" s="56"/>
      <c r="E55" s="56"/>
      <c r="F55" s="56"/>
      <c r="G55" s="56"/>
      <c r="H55" s="56"/>
      <c r="I55" s="56"/>
      <c r="J55" s="56"/>
      <c r="K55" s="56"/>
      <c r="L55" s="56"/>
      <c r="M55" s="56"/>
      <c r="N55" s="56"/>
      <c r="O55" s="56"/>
      <c r="P55" s="56"/>
      <c r="Q55" s="56"/>
      <c r="R55" s="56"/>
      <c r="S55" s="56"/>
      <c r="T55" s="56"/>
      <c r="U55" s="56"/>
      <c r="V55" s="56"/>
    </row>
    <row r="56" spans="2:22" ht="16.5" customHeight="1" hidden="1">
      <c r="B56" s="56"/>
      <c r="C56" s="56"/>
      <c r="D56" s="56"/>
      <c r="E56" s="56"/>
      <c r="F56" s="56"/>
      <c r="G56" s="56"/>
      <c r="H56" s="56"/>
      <c r="I56" s="56"/>
      <c r="J56" s="56"/>
      <c r="K56" s="56"/>
      <c r="L56" s="56"/>
      <c r="M56" s="56"/>
      <c r="N56" s="56"/>
      <c r="O56" s="56"/>
      <c r="P56" s="56"/>
      <c r="Q56" s="56"/>
      <c r="R56" s="56"/>
      <c r="S56" s="56"/>
      <c r="T56" s="56"/>
      <c r="U56" s="56"/>
      <c r="V56" s="56"/>
    </row>
    <row r="57" spans="2:22" ht="26.25" customHeight="1">
      <c r="B57" s="47" t="s">
        <v>57</v>
      </c>
      <c r="C57" s="47"/>
      <c r="D57" s="47"/>
      <c r="E57" s="47"/>
      <c r="F57" s="47"/>
      <c r="G57" s="47"/>
      <c r="H57" s="47"/>
      <c r="I57" s="47"/>
      <c r="J57" s="47"/>
      <c r="K57" s="47"/>
      <c r="L57" s="47"/>
      <c r="M57" s="47"/>
      <c r="N57" s="47"/>
      <c r="O57" s="47"/>
      <c r="P57" s="47"/>
      <c r="Q57" s="47"/>
      <c r="R57" s="47"/>
      <c r="S57" s="47"/>
      <c r="T57" s="47"/>
      <c r="U57" s="47"/>
      <c r="V57" s="47"/>
    </row>
  </sheetData>
  <mergeCells count="95">
    <mergeCell ref="B34:U34"/>
    <mergeCell ref="B40:U40"/>
    <mergeCell ref="B35:V35"/>
    <mergeCell ref="B36:C38"/>
    <mergeCell ref="D36:D38"/>
    <mergeCell ref="E36:E38"/>
    <mergeCell ref="F36:I38"/>
    <mergeCell ref="J36:J38"/>
    <mergeCell ref="K36:M36"/>
    <mergeCell ref="Q36:S37"/>
    <mergeCell ref="T36:T38"/>
    <mergeCell ref="U36:V37"/>
    <mergeCell ref="B39:C39"/>
    <mergeCell ref="F39:I39"/>
    <mergeCell ref="B47:U47"/>
    <mergeCell ref="F46:I46"/>
    <mergeCell ref="B46:C46"/>
    <mergeCell ref="B41:V41"/>
    <mergeCell ref="B42:C44"/>
    <mergeCell ref="D42:D44"/>
    <mergeCell ref="E42:E44"/>
    <mergeCell ref="F42:I44"/>
    <mergeCell ref="J42:J44"/>
    <mergeCell ref="Q42:S43"/>
    <mergeCell ref="T42:T44"/>
    <mergeCell ref="U42:V43"/>
    <mergeCell ref="L42:O42"/>
    <mergeCell ref="B45:C45"/>
    <mergeCell ref="F45:I45"/>
    <mergeCell ref="B27:C27"/>
    <mergeCell ref="F27:I27"/>
    <mergeCell ref="B28:U28"/>
    <mergeCell ref="B33:C33"/>
    <mergeCell ref="F33:I33"/>
    <mergeCell ref="B29:V29"/>
    <mergeCell ref="B30:C32"/>
    <mergeCell ref="D30:D32"/>
    <mergeCell ref="E30:E32"/>
    <mergeCell ref="F30:I32"/>
    <mergeCell ref="J30:J32"/>
    <mergeCell ref="K30:M30"/>
    <mergeCell ref="U30:V31"/>
    <mergeCell ref="B23:V23"/>
    <mergeCell ref="B24:C26"/>
    <mergeCell ref="D24:D26"/>
    <mergeCell ref="E24:E26"/>
    <mergeCell ref="F24:I26"/>
    <mergeCell ref="J24:J26"/>
    <mergeCell ref="Q24:S25"/>
    <mergeCell ref="T24:T26"/>
    <mergeCell ref="U24:V25"/>
    <mergeCell ref="K24:P24"/>
    <mergeCell ref="B6:H6"/>
    <mergeCell ref="I6:V6"/>
    <mergeCell ref="J18:J20"/>
    <mergeCell ref="F18:I20"/>
    <mergeCell ref="B7:V8"/>
    <mergeCell ref="E10:E12"/>
    <mergeCell ref="F10:I12"/>
    <mergeCell ref="J10:J12"/>
    <mergeCell ref="D10:D12"/>
    <mergeCell ref="U10:V11"/>
    <mergeCell ref="B10:C12"/>
    <mergeCell ref="T10:T12"/>
    <mergeCell ref="D18:D20"/>
    <mergeCell ref="E18:E20"/>
    <mergeCell ref="Q18:S19"/>
    <mergeCell ref="K18:P18"/>
    <mergeCell ref="B13:C13"/>
    <mergeCell ref="B9:V9"/>
    <mergeCell ref="Q10:S11"/>
    <mergeCell ref="F13:I13"/>
    <mergeCell ref="B16:U16"/>
    <mergeCell ref="K10:P10"/>
    <mergeCell ref="B5:V5"/>
    <mergeCell ref="B1:V1"/>
    <mergeCell ref="B2:V2"/>
    <mergeCell ref="B3:V3"/>
    <mergeCell ref="B4:V4"/>
    <mergeCell ref="B49:V49"/>
    <mergeCell ref="B57:V57"/>
    <mergeCell ref="B17:V17"/>
    <mergeCell ref="B22:U22"/>
    <mergeCell ref="F14:I14"/>
    <mergeCell ref="B50:V56"/>
    <mergeCell ref="F21:I21"/>
    <mergeCell ref="T18:T20"/>
    <mergeCell ref="B14:C14"/>
    <mergeCell ref="B18:C20"/>
    <mergeCell ref="B21:C21"/>
    <mergeCell ref="U18:V19"/>
    <mergeCell ref="B15:C15"/>
    <mergeCell ref="F15:I15"/>
    <mergeCell ref="Q30:S31"/>
    <mergeCell ref="T30:T32"/>
  </mergeCells>
  <printOptions/>
  <pageMargins left="0.511811024" right="0.511811024" top="0.787401575" bottom="0.787401575" header="0.31496062" footer="0.31496062"/>
  <pageSetup fitToHeight="0" fitToWidth="1" horizontalDpi="300" verticalDpi="300" orientation="landscape" paperSize="9" scale="3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74"/>
  <sheetViews>
    <sheetView tabSelected="1" zoomScale="80" zoomScaleNormal="80" workbookViewId="0" topLeftCell="B25">
      <selection activeCell="B57" sqref="B57:O57"/>
    </sheetView>
  </sheetViews>
  <sheetFormatPr defaultColWidth="9.140625" defaultRowHeight="15"/>
  <cols>
    <col min="1" max="1" width="3.7109375" style="1" customWidth="1"/>
    <col min="2" max="2" width="5.421875" style="33" customWidth="1"/>
    <col min="3" max="3" width="11.00390625" style="33" customWidth="1"/>
    <col min="4" max="4" width="10.7109375" style="33" customWidth="1"/>
    <col min="5" max="5" width="39.28125" style="34" customWidth="1"/>
    <col min="6" max="6" width="9.421875" style="33" customWidth="1"/>
    <col min="7" max="8" width="15.8515625" style="33" hidden="1" customWidth="1"/>
    <col min="9" max="9" width="18.00390625" style="33" hidden="1" customWidth="1"/>
    <col min="10" max="10" width="11.57421875" style="33" customWidth="1"/>
    <col min="11" max="11" width="11.7109375" style="33" customWidth="1"/>
    <col min="12" max="12" width="13.00390625" style="33" customWidth="1"/>
    <col min="13" max="13" width="14.00390625" style="35" customWidth="1"/>
    <col min="14" max="14" width="18.140625" style="33" customWidth="1"/>
    <col min="15" max="15" width="22.8515625" style="33" customWidth="1"/>
    <col min="16" max="16" width="17.7109375" style="1" customWidth="1"/>
    <col min="17" max="16384" width="9.140625" style="1" customWidth="1"/>
  </cols>
  <sheetData>
    <row r="1" spans="2:15" s="37" customFormat="1" ht="67.5" customHeight="1">
      <c r="B1" s="122"/>
      <c r="C1" s="122"/>
      <c r="D1" s="122"/>
      <c r="E1" s="122"/>
      <c r="F1" s="122"/>
      <c r="G1" s="122"/>
      <c r="H1" s="122"/>
      <c r="I1" s="122"/>
      <c r="J1" s="122"/>
      <c r="K1" s="122"/>
      <c r="L1" s="122"/>
      <c r="M1" s="122"/>
      <c r="N1" s="122"/>
      <c r="O1" s="122"/>
    </row>
    <row r="2" spans="2:15" s="38" customFormat="1" ht="15.75" customHeight="1">
      <c r="B2" s="123" t="s">
        <v>0</v>
      </c>
      <c r="C2" s="124"/>
      <c r="D2" s="124"/>
      <c r="E2" s="124"/>
      <c r="F2" s="124"/>
      <c r="G2" s="124"/>
      <c r="H2" s="124"/>
      <c r="I2" s="124"/>
      <c r="J2" s="124"/>
      <c r="K2" s="124"/>
      <c r="L2" s="124"/>
      <c r="M2" s="124"/>
      <c r="N2" s="124"/>
      <c r="O2" s="125"/>
    </row>
    <row r="3" spans="2:15" s="37" customFormat="1" ht="15.75" customHeight="1">
      <c r="B3" s="39" t="s">
        <v>58</v>
      </c>
      <c r="C3" s="26"/>
      <c r="D3" s="26"/>
      <c r="E3" s="36"/>
      <c r="F3" s="97"/>
      <c r="G3" s="97"/>
      <c r="H3" s="97"/>
      <c r="I3" s="97"/>
      <c r="J3" s="97"/>
      <c r="K3" s="97"/>
      <c r="L3" s="97"/>
      <c r="M3" s="97"/>
      <c r="N3" s="97"/>
      <c r="O3" s="120"/>
    </row>
    <row r="4" spans="2:15" s="37" customFormat="1" ht="15.75" customHeight="1">
      <c r="B4" s="39" t="s">
        <v>59</v>
      </c>
      <c r="C4" s="26"/>
      <c r="D4" s="26"/>
      <c r="E4" s="36"/>
      <c r="F4" s="97"/>
      <c r="G4" s="97"/>
      <c r="H4" s="97"/>
      <c r="I4" s="97"/>
      <c r="J4" s="97"/>
      <c r="K4" s="97"/>
      <c r="L4" s="97"/>
      <c r="M4" s="97"/>
      <c r="N4" s="97"/>
      <c r="O4" s="120"/>
    </row>
    <row r="5" spans="2:15" s="37" customFormat="1" ht="21" customHeight="1">
      <c r="B5" s="119" t="s">
        <v>60</v>
      </c>
      <c r="C5" s="77"/>
      <c r="D5" s="77"/>
      <c r="E5" s="77"/>
      <c r="F5" s="97"/>
      <c r="G5" s="97"/>
      <c r="H5" s="97"/>
      <c r="I5" s="97"/>
      <c r="J5" s="97"/>
      <c r="K5" s="97"/>
      <c r="L5" s="97"/>
      <c r="M5" s="97"/>
      <c r="N5" s="97"/>
      <c r="O5" s="120"/>
    </row>
    <row r="6" spans="2:15" s="37" customFormat="1" ht="15.75" customHeight="1">
      <c r="B6" s="129"/>
      <c r="C6" s="97"/>
      <c r="D6" s="97"/>
      <c r="E6" s="97"/>
      <c r="F6" s="97"/>
      <c r="G6" s="97"/>
      <c r="H6" s="97"/>
      <c r="I6" s="97"/>
      <c r="J6" s="97"/>
      <c r="K6" s="97"/>
      <c r="L6" s="97"/>
      <c r="M6" s="97"/>
      <c r="N6" s="97"/>
      <c r="O6" s="120"/>
    </row>
    <row r="7" spans="2:15" s="37" customFormat="1" ht="15.75" customHeight="1">
      <c r="B7" s="126"/>
      <c r="C7" s="127"/>
      <c r="D7" s="127"/>
      <c r="E7" s="127"/>
      <c r="F7" s="127"/>
      <c r="G7" s="127"/>
      <c r="H7" s="127"/>
      <c r="I7" s="127"/>
      <c r="J7" s="127"/>
      <c r="K7" s="127"/>
      <c r="L7" s="127"/>
      <c r="M7" s="127"/>
      <c r="N7" s="127"/>
      <c r="O7" s="128"/>
    </row>
    <row r="8" spans="2:15" s="38" customFormat="1" ht="15">
      <c r="B8" s="121" t="s">
        <v>61</v>
      </c>
      <c r="C8" s="121"/>
      <c r="D8" s="121"/>
      <c r="E8" s="121"/>
      <c r="F8" s="121"/>
      <c r="G8" s="121"/>
      <c r="H8" s="121"/>
      <c r="I8" s="121"/>
      <c r="J8" s="121"/>
      <c r="K8" s="121"/>
      <c r="L8" s="121"/>
      <c r="M8" s="121"/>
      <c r="N8" s="121"/>
      <c r="O8" s="121"/>
    </row>
    <row r="9" spans="2:15" ht="53.25" customHeight="1">
      <c r="B9" s="135" t="s">
        <v>6</v>
      </c>
      <c r="C9" s="107" t="s">
        <v>7</v>
      </c>
      <c r="D9" s="107" t="s">
        <v>8</v>
      </c>
      <c r="E9" s="112" t="s">
        <v>9</v>
      </c>
      <c r="F9" s="107" t="s">
        <v>10</v>
      </c>
      <c r="G9" s="107" t="s">
        <v>11</v>
      </c>
      <c r="H9" s="107"/>
      <c r="I9" s="107"/>
      <c r="J9" s="107" t="s">
        <v>12</v>
      </c>
      <c r="K9" s="107"/>
      <c r="L9" s="107"/>
      <c r="M9" s="114" t="s">
        <v>13</v>
      </c>
      <c r="N9" s="130" t="s">
        <v>14</v>
      </c>
      <c r="O9" s="130"/>
    </row>
    <row r="10" spans="2:15" ht="43.5" customHeight="1">
      <c r="B10" s="136"/>
      <c r="C10" s="108"/>
      <c r="D10" s="108"/>
      <c r="E10" s="113"/>
      <c r="F10" s="108"/>
      <c r="G10" s="30" t="s">
        <v>62</v>
      </c>
      <c r="H10" s="30" t="s">
        <v>63</v>
      </c>
      <c r="I10" s="30" t="s">
        <v>64</v>
      </c>
      <c r="J10" s="108"/>
      <c r="K10" s="108"/>
      <c r="L10" s="108"/>
      <c r="M10" s="115"/>
      <c r="N10" s="131"/>
      <c r="O10" s="131"/>
    </row>
    <row r="11" spans="2:15" ht="52.5" customHeight="1">
      <c r="B11" s="136"/>
      <c r="C11" s="108"/>
      <c r="D11" s="108"/>
      <c r="E11" s="113"/>
      <c r="F11" s="108"/>
      <c r="G11" s="28" t="s">
        <v>12</v>
      </c>
      <c r="H11" s="28" t="s">
        <v>12</v>
      </c>
      <c r="I11" s="28" t="s">
        <v>12</v>
      </c>
      <c r="J11" s="28" t="s">
        <v>20</v>
      </c>
      <c r="K11" s="28" t="s">
        <v>21</v>
      </c>
      <c r="L11" s="28" t="s">
        <v>22</v>
      </c>
      <c r="M11" s="107"/>
      <c r="N11" s="132" t="s">
        <v>23</v>
      </c>
      <c r="O11" s="132" t="s">
        <v>24</v>
      </c>
    </row>
    <row r="12" spans="2:15" ht="109.5" customHeight="1">
      <c r="B12" s="137">
        <v>1</v>
      </c>
      <c r="C12" s="40">
        <v>1</v>
      </c>
      <c r="D12" s="27" t="s">
        <v>8</v>
      </c>
      <c r="E12" s="32" t="s">
        <v>65</v>
      </c>
      <c r="F12" s="27">
        <v>83232</v>
      </c>
      <c r="G12" s="28">
        <f>C12*128000</f>
        <v>128000</v>
      </c>
      <c r="H12" s="28">
        <f>C12*180990</f>
        <v>180990</v>
      </c>
      <c r="I12" s="28">
        <f>C12*140000</f>
        <v>140000</v>
      </c>
      <c r="J12" s="12">
        <f aca="true" t="shared" si="0" ref="J12:J55">MIN(G12:I12)</f>
        <v>128000</v>
      </c>
      <c r="K12" s="12">
        <f>AVERAGE(G12:I12)</f>
        <v>149663.33333333334</v>
      </c>
      <c r="L12" s="12">
        <f aca="true" t="shared" si="1" ref="L12:L55">MEDIAN(G12:I12)</f>
        <v>140000</v>
      </c>
      <c r="M12" s="31">
        <f aca="true" t="shared" si="2" ref="M12:M55">STDEV(G12:I12)/AVERAGE(G12:I12)</f>
        <v>0.1856516747652464</v>
      </c>
      <c r="N12" s="133">
        <f>K12</f>
        <v>149663.33333333334</v>
      </c>
      <c r="O12" s="134">
        <f aca="true" t="shared" si="3" ref="O12:O55">N12*C12</f>
        <v>149663.33333333334</v>
      </c>
    </row>
    <row r="13" spans="2:15" ht="58.5" customHeight="1">
      <c r="B13" s="137">
        <v>2</v>
      </c>
      <c r="C13" s="40">
        <v>1</v>
      </c>
      <c r="D13" s="27" t="s">
        <v>8</v>
      </c>
      <c r="E13" s="32" t="s">
        <v>66</v>
      </c>
      <c r="F13" s="27">
        <v>50857</v>
      </c>
      <c r="G13" s="28">
        <f>C13*182000</f>
        <v>182000</v>
      </c>
      <c r="H13" s="28">
        <f>C13*183000</f>
        <v>183000</v>
      </c>
      <c r="I13" s="28">
        <f>C13*150000</f>
        <v>150000</v>
      </c>
      <c r="J13" s="12">
        <f t="shared" si="0"/>
        <v>150000</v>
      </c>
      <c r="K13" s="12">
        <f aca="true" t="shared" si="4" ref="K13:K55">AVERAGE(G13:I13)</f>
        <v>171666.66666666666</v>
      </c>
      <c r="L13" s="12">
        <f t="shared" si="1"/>
        <v>182000</v>
      </c>
      <c r="M13" s="31">
        <f t="shared" si="2"/>
        <v>0.10934297650719291</v>
      </c>
      <c r="N13" s="133">
        <f>K13</f>
        <v>171666.66666666666</v>
      </c>
      <c r="O13" s="134">
        <f t="shared" si="3"/>
        <v>171666.66666666666</v>
      </c>
    </row>
    <row r="14" spans="2:15" ht="48.75" customHeight="1">
      <c r="B14" s="137">
        <v>3</v>
      </c>
      <c r="C14" s="40">
        <v>1</v>
      </c>
      <c r="D14" s="27" t="s">
        <v>8</v>
      </c>
      <c r="E14" s="32" t="s">
        <v>67</v>
      </c>
      <c r="F14" s="27">
        <v>50857</v>
      </c>
      <c r="G14" s="28">
        <f>C14*52000</f>
        <v>52000</v>
      </c>
      <c r="H14" s="28">
        <f>C14*53000</f>
        <v>53000</v>
      </c>
      <c r="I14" s="28">
        <f>C14*50000</f>
        <v>50000</v>
      </c>
      <c r="J14" s="12">
        <f t="shared" si="0"/>
        <v>50000</v>
      </c>
      <c r="K14" s="12">
        <f t="shared" si="4"/>
        <v>51666.666666666664</v>
      </c>
      <c r="L14" s="12">
        <f t="shared" si="1"/>
        <v>52000</v>
      </c>
      <c r="M14" s="31">
        <f t="shared" si="2"/>
        <v>0.029565004483586062</v>
      </c>
      <c r="N14" s="133">
        <f>K14</f>
        <v>51666.666666666664</v>
      </c>
      <c r="O14" s="134">
        <f t="shared" si="3"/>
        <v>51666.666666666664</v>
      </c>
    </row>
    <row r="15" spans="2:15" ht="90.75" customHeight="1">
      <c r="B15" s="137">
        <v>4</v>
      </c>
      <c r="C15" s="40">
        <v>1</v>
      </c>
      <c r="D15" s="27" t="s">
        <v>8</v>
      </c>
      <c r="E15" s="32" t="s">
        <v>68</v>
      </c>
      <c r="F15" s="27">
        <v>12440</v>
      </c>
      <c r="G15" s="28">
        <f>C15*49000</f>
        <v>49000</v>
      </c>
      <c r="H15" s="28">
        <f>C15*69900</f>
        <v>69900</v>
      </c>
      <c r="I15" s="28">
        <f>C15*70000</f>
        <v>70000</v>
      </c>
      <c r="J15" s="12">
        <f t="shared" si="0"/>
        <v>49000</v>
      </c>
      <c r="K15" s="12">
        <f t="shared" si="4"/>
        <v>62966.666666666664</v>
      </c>
      <c r="L15" s="12">
        <f t="shared" si="1"/>
        <v>69900</v>
      </c>
      <c r="M15" s="31">
        <f t="shared" si="2"/>
        <v>0.1920951532567722</v>
      </c>
      <c r="N15" s="133">
        <f>K15</f>
        <v>62966.666666666664</v>
      </c>
      <c r="O15" s="134">
        <f t="shared" si="3"/>
        <v>62966.666666666664</v>
      </c>
    </row>
    <row r="16" spans="2:15" ht="78" customHeight="1">
      <c r="B16" s="137">
        <v>5</v>
      </c>
      <c r="C16" s="40">
        <v>1</v>
      </c>
      <c r="D16" s="27" t="s">
        <v>8</v>
      </c>
      <c r="E16" s="32" t="s">
        <v>69</v>
      </c>
      <c r="F16" s="27">
        <v>12440</v>
      </c>
      <c r="G16" s="28">
        <f>C16*11000</f>
        <v>11000</v>
      </c>
      <c r="H16" s="28">
        <f>C16*19900</f>
        <v>19900</v>
      </c>
      <c r="I16" s="28">
        <f>C16*10000</f>
        <v>10000</v>
      </c>
      <c r="J16" s="12">
        <f t="shared" si="0"/>
        <v>10000</v>
      </c>
      <c r="K16" s="12">
        <f t="shared" si="4"/>
        <v>13633.333333333334</v>
      </c>
      <c r="L16" s="12">
        <f t="shared" si="1"/>
        <v>11000</v>
      </c>
      <c r="M16" s="31">
        <f>STDEV(G16:I16)/AVERAGE(G16:I16)</f>
        <v>0.3997611089532877</v>
      </c>
      <c r="N16" s="133">
        <f>L16</f>
        <v>11000</v>
      </c>
      <c r="O16" s="134">
        <f t="shared" si="3"/>
        <v>11000</v>
      </c>
    </row>
    <row r="17" spans="2:15" ht="69" customHeight="1">
      <c r="B17" s="137">
        <v>6</v>
      </c>
      <c r="C17" s="40">
        <v>1</v>
      </c>
      <c r="D17" s="27" t="s">
        <v>8</v>
      </c>
      <c r="E17" s="32" t="s">
        <v>70</v>
      </c>
      <c r="F17" s="27">
        <v>27880</v>
      </c>
      <c r="G17" s="28">
        <f>C17*49000</f>
        <v>49000</v>
      </c>
      <c r="H17" s="28">
        <f>C17*49900</f>
        <v>49900</v>
      </c>
      <c r="I17" s="28">
        <f>C17*70000</f>
        <v>70000</v>
      </c>
      <c r="J17" s="12">
        <f t="shared" si="0"/>
        <v>49000</v>
      </c>
      <c r="K17" s="12">
        <f t="shared" si="4"/>
        <v>56300</v>
      </c>
      <c r="L17" s="12">
        <f t="shared" si="1"/>
        <v>49900</v>
      </c>
      <c r="M17" s="31">
        <f t="shared" si="2"/>
        <v>0.21088949896902656</v>
      </c>
      <c r="N17" s="133">
        <f>K17</f>
        <v>56300</v>
      </c>
      <c r="O17" s="134">
        <f t="shared" si="3"/>
        <v>56300</v>
      </c>
    </row>
    <row r="18" spans="2:15" s="29" customFormat="1" ht="40.5" customHeight="1">
      <c r="B18" s="137">
        <v>7</v>
      </c>
      <c r="C18" s="40">
        <v>1</v>
      </c>
      <c r="D18" s="27" t="s">
        <v>8</v>
      </c>
      <c r="E18" s="32" t="s">
        <v>71</v>
      </c>
      <c r="F18" s="27">
        <v>27880</v>
      </c>
      <c r="G18" s="28">
        <f>C18*11000</f>
        <v>11000</v>
      </c>
      <c r="H18" s="28">
        <f>C18*11000</f>
        <v>11000</v>
      </c>
      <c r="I18" s="28">
        <f>C18*10000</f>
        <v>10000</v>
      </c>
      <c r="J18" s="12">
        <f t="shared" si="0"/>
        <v>10000</v>
      </c>
      <c r="K18" s="12">
        <f t="shared" si="4"/>
        <v>10666.666666666666</v>
      </c>
      <c r="L18" s="12">
        <f t="shared" si="1"/>
        <v>11000</v>
      </c>
      <c r="M18" s="31">
        <f t="shared" si="2"/>
        <v>0.05412658773652741</v>
      </c>
      <c r="N18" s="133">
        <f>K18</f>
        <v>10666.666666666666</v>
      </c>
      <c r="O18" s="134">
        <f t="shared" si="3"/>
        <v>10666.666666666666</v>
      </c>
    </row>
    <row r="19" spans="2:15" ht="78.75" customHeight="1">
      <c r="B19" s="137">
        <v>8</v>
      </c>
      <c r="C19" s="40">
        <v>8</v>
      </c>
      <c r="D19" s="27" t="s">
        <v>8</v>
      </c>
      <c r="E19" s="32" t="s">
        <v>111</v>
      </c>
      <c r="F19" s="27">
        <v>1834975</v>
      </c>
      <c r="G19" s="28">
        <v>21000</v>
      </c>
      <c r="H19" s="28">
        <v>21100</v>
      </c>
      <c r="I19" s="28">
        <v>28500</v>
      </c>
      <c r="J19" s="12">
        <f t="shared" si="0"/>
        <v>21000</v>
      </c>
      <c r="K19" s="12">
        <f t="shared" si="4"/>
        <v>23533.333333333332</v>
      </c>
      <c r="L19" s="12">
        <f t="shared" si="1"/>
        <v>21100</v>
      </c>
      <c r="M19" s="31">
        <f t="shared" si="2"/>
        <v>0.1827854153624973</v>
      </c>
      <c r="N19" s="133">
        <f>K19</f>
        <v>23533.333333333332</v>
      </c>
      <c r="O19" s="134">
        <f t="shared" si="3"/>
        <v>188266.66666666666</v>
      </c>
    </row>
    <row r="20" spans="2:15" ht="72" customHeight="1">
      <c r="B20" s="137">
        <v>9</v>
      </c>
      <c r="C20" s="40">
        <v>4</v>
      </c>
      <c r="D20" s="27" t="s">
        <v>8</v>
      </c>
      <c r="E20" s="32" t="s">
        <v>99</v>
      </c>
      <c r="F20" s="27">
        <v>1866109</v>
      </c>
      <c r="G20" s="28">
        <v>8600</v>
      </c>
      <c r="H20" s="28">
        <v>8600</v>
      </c>
      <c r="I20" s="28">
        <v>6200</v>
      </c>
      <c r="J20" s="12">
        <f t="shared" si="0"/>
        <v>6200</v>
      </c>
      <c r="K20" s="12">
        <f t="shared" si="4"/>
        <v>7800</v>
      </c>
      <c r="L20" s="12">
        <f t="shared" si="1"/>
        <v>8600</v>
      </c>
      <c r="M20" s="31">
        <f t="shared" si="2"/>
        <v>0.177646236673731</v>
      </c>
      <c r="N20" s="133">
        <f>K20</f>
        <v>7800</v>
      </c>
      <c r="O20" s="134">
        <f t="shared" si="3"/>
        <v>31200</v>
      </c>
    </row>
    <row r="21" spans="2:15" ht="62.25" customHeight="1">
      <c r="B21" s="137">
        <v>10</v>
      </c>
      <c r="C21" s="40">
        <v>8</v>
      </c>
      <c r="D21" s="27" t="s">
        <v>8</v>
      </c>
      <c r="E21" s="32" t="s">
        <v>109</v>
      </c>
      <c r="F21" s="27">
        <v>784311</v>
      </c>
      <c r="G21" s="28">
        <v>5200</v>
      </c>
      <c r="H21" s="28">
        <v>5250</v>
      </c>
      <c r="I21" s="28">
        <v>4500</v>
      </c>
      <c r="J21" s="12">
        <f t="shared" si="0"/>
        <v>4500</v>
      </c>
      <c r="K21" s="12">
        <f t="shared" si="4"/>
        <v>4983.333333333333</v>
      </c>
      <c r="L21" s="12">
        <f t="shared" si="1"/>
        <v>5200</v>
      </c>
      <c r="M21" s="31">
        <f t="shared" si="2"/>
        <v>0.08414545568835534</v>
      </c>
      <c r="N21" s="133">
        <f>K21</f>
        <v>4983.333333333333</v>
      </c>
      <c r="O21" s="134">
        <f t="shared" si="3"/>
        <v>39866.666666666664</v>
      </c>
    </row>
    <row r="22" spans="2:15" ht="71.25" customHeight="1">
      <c r="B22" s="137">
        <v>11</v>
      </c>
      <c r="C22" s="40">
        <v>100</v>
      </c>
      <c r="D22" s="27" t="s">
        <v>8</v>
      </c>
      <c r="E22" s="32" t="s">
        <v>110</v>
      </c>
      <c r="F22" s="27">
        <v>1370979</v>
      </c>
      <c r="G22" s="28">
        <v>1000</v>
      </c>
      <c r="H22" s="28">
        <v>1200</v>
      </c>
      <c r="I22" s="28">
        <v>3500</v>
      </c>
      <c r="J22" s="12">
        <f t="shared" si="0"/>
        <v>1000</v>
      </c>
      <c r="K22" s="12">
        <f t="shared" si="4"/>
        <v>1900</v>
      </c>
      <c r="L22" s="12">
        <f t="shared" si="1"/>
        <v>1200</v>
      </c>
      <c r="M22" s="31">
        <f t="shared" si="2"/>
        <v>0.7311812626026213</v>
      </c>
      <c r="N22" s="133">
        <f>L22</f>
        <v>1200</v>
      </c>
      <c r="O22" s="134">
        <f t="shared" si="3"/>
        <v>120000</v>
      </c>
    </row>
    <row r="23" spans="2:15" ht="67.5" customHeight="1">
      <c r="B23" s="137">
        <v>12</v>
      </c>
      <c r="C23" s="40">
        <v>16</v>
      </c>
      <c r="D23" s="27" t="s">
        <v>8</v>
      </c>
      <c r="E23" s="32" t="s">
        <v>112</v>
      </c>
      <c r="F23" s="27">
        <v>1724860</v>
      </c>
      <c r="G23" s="28">
        <v>9200</v>
      </c>
      <c r="H23" s="28">
        <v>9250</v>
      </c>
      <c r="I23" s="28">
        <v>10500</v>
      </c>
      <c r="J23" s="12">
        <f t="shared" si="0"/>
        <v>9200</v>
      </c>
      <c r="K23" s="12">
        <f t="shared" si="4"/>
        <v>9650</v>
      </c>
      <c r="L23" s="12">
        <f t="shared" si="1"/>
        <v>9250</v>
      </c>
      <c r="M23" s="31">
        <f t="shared" si="2"/>
        <v>0.07632600965106857</v>
      </c>
      <c r="N23" s="133">
        <f>K23</f>
        <v>9650</v>
      </c>
      <c r="O23" s="134">
        <f t="shared" si="3"/>
        <v>154400</v>
      </c>
    </row>
    <row r="24" spans="2:15" ht="75" customHeight="1">
      <c r="B24" s="137">
        <v>13</v>
      </c>
      <c r="C24" s="40">
        <v>64</v>
      </c>
      <c r="D24" s="27" t="s">
        <v>8</v>
      </c>
      <c r="E24" s="32" t="s">
        <v>108</v>
      </c>
      <c r="F24" s="27">
        <v>1286609</v>
      </c>
      <c r="G24" s="28">
        <v>800</v>
      </c>
      <c r="H24" s="28">
        <v>820</v>
      </c>
      <c r="I24" s="28">
        <v>1000</v>
      </c>
      <c r="J24" s="12">
        <f t="shared" si="0"/>
        <v>800</v>
      </c>
      <c r="K24" s="12">
        <f t="shared" si="4"/>
        <v>873.3333333333334</v>
      </c>
      <c r="L24" s="12">
        <f t="shared" si="1"/>
        <v>820</v>
      </c>
      <c r="M24" s="31">
        <f t="shared" si="2"/>
        <v>0.1261275697851775</v>
      </c>
      <c r="N24" s="133">
        <f>K24</f>
        <v>873.3333333333334</v>
      </c>
      <c r="O24" s="134">
        <f t="shared" si="3"/>
        <v>55893.333333333336</v>
      </c>
    </row>
    <row r="25" spans="2:15" ht="81" customHeight="1">
      <c r="B25" s="137">
        <v>14</v>
      </c>
      <c r="C25" s="40">
        <v>16</v>
      </c>
      <c r="D25" s="27" t="s">
        <v>8</v>
      </c>
      <c r="E25" s="32" t="s">
        <v>97</v>
      </c>
      <c r="F25" s="27">
        <v>1286609</v>
      </c>
      <c r="G25" s="28">
        <v>1600</v>
      </c>
      <c r="H25" s="28">
        <v>1610</v>
      </c>
      <c r="I25" s="28">
        <v>600</v>
      </c>
      <c r="J25" s="12">
        <f t="shared" si="0"/>
        <v>600</v>
      </c>
      <c r="K25" s="12">
        <f t="shared" si="4"/>
        <v>1270</v>
      </c>
      <c r="L25" s="12">
        <f t="shared" si="1"/>
        <v>1600</v>
      </c>
      <c r="M25" s="31">
        <f t="shared" si="2"/>
        <v>0.4568965063434334</v>
      </c>
      <c r="N25" s="133">
        <f>L25</f>
        <v>1600</v>
      </c>
      <c r="O25" s="134">
        <f t="shared" si="3"/>
        <v>25600</v>
      </c>
    </row>
    <row r="26" spans="2:15" ht="82.5" customHeight="1">
      <c r="B26" s="137">
        <v>15</v>
      </c>
      <c r="C26" s="40">
        <v>8</v>
      </c>
      <c r="D26" s="27" t="s">
        <v>8</v>
      </c>
      <c r="E26" s="32" t="s">
        <v>98</v>
      </c>
      <c r="F26" s="27">
        <v>1284053</v>
      </c>
      <c r="G26" s="28">
        <v>2300</v>
      </c>
      <c r="H26" s="28">
        <v>2290</v>
      </c>
      <c r="I26" s="28">
        <v>2500</v>
      </c>
      <c r="J26" s="12">
        <f t="shared" si="0"/>
        <v>2290</v>
      </c>
      <c r="K26" s="12">
        <f t="shared" si="4"/>
        <v>2363.3333333333335</v>
      </c>
      <c r="L26" s="12">
        <f t="shared" si="1"/>
        <v>2300</v>
      </c>
      <c r="M26" s="31">
        <f t="shared" si="2"/>
        <v>0.05012512170357365</v>
      </c>
      <c r="N26" s="133">
        <f>K26</f>
        <v>2363.3333333333335</v>
      </c>
      <c r="O26" s="134">
        <f t="shared" si="3"/>
        <v>18906.666666666668</v>
      </c>
    </row>
    <row r="27" spans="2:15" ht="69" customHeight="1">
      <c r="B27" s="137">
        <v>16</v>
      </c>
      <c r="C27" s="40">
        <v>16</v>
      </c>
      <c r="D27" s="27" t="s">
        <v>8</v>
      </c>
      <c r="E27" s="32" t="s">
        <v>107</v>
      </c>
      <c r="F27" s="27">
        <v>1119451</v>
      </c>
      <c r="G27" s="28">
        <v>2850</v>
      </c>
      <c r="H27" s="28">
        <v>2860</v>
      </c>
      <c r="I27" s="28">
        <v>3500</v>
      </c>
      <c r="J27" s="12">
        <f t="shared" si="0"/>
        <v>2850</v>
      </c>
      <c r="K27" s="12">
        <f t="shared" si="4"/>
        <v>3070</v>
      </c>
      <c r="L27" s="12">
        <f t="shared" si="1"/>
        <v>2860</v>
      </c>
      <c r="M27" s="31">
        <f t="shared" si="2"/>
        <v>0.12131090846603304</v>
      </c>
      <c r="N27" s="133">
        <f>K27</f>
        <v>3070</v>
      </c>
      <c r="O27" s="134">
        <f t="shared" si="3"/>
        <v>49120</v>
      </c>
    </row>
    <row r="28" spans="2:15" ht="57.75" customHeight="1">
      <c r="B28" s="137">
        <v>17</v>
      </c>
      <c r="C28" s="40">
        <v>8</v>
      </c>
      <c r="D28" s="27" t="s">
        <v>8</v>
      </c>
      <c r="E28" s="32" t="s">
        <v>106</v>
      </c>
      <c r="F28" s="27">
        <v>1822616</v>
      </c>
      <c r="G28" s="28">
        <v>200</v>
      </c>
      <c r="H28" s="28">
        <v>210</v>
      </c>
      <c r="I28" s="28">
        <v>1500</v>
      </c>
      <c r="J28" s="12">
        <f t="shared" si="0"/>
        <v>200</v>
      </c>
      <c r="K28" s="12">
        <f t="shared" si="4"/>
        <v>636.6666666666666</v>
      </c>
      <c r="L28" s="12">
        <f t="shared" si="1"/>
        <v>210</v>
      </c>
      <c r="M28" s="31">
        <f t="shared" si="2"/>
        <v>1.174374843535265</v>
      </c>
      <c r="N28" s="133">
        <f>L28</f>
        <v>210</v>
      </c>
      <c r="O28" s="134">
        <f t="shared" si="3"/>
        <v>1680</v>
      </c>
    </row>
    <row r="29" spans="2:15" ht="57" customHeight="1">
      <c r="B29" s="137">
        <v>18</v>
      </c>
      <c r="C29" s="40">
        <v>8</v>
      </c>
      <c r="D29" s="27" t="s">
        <v>8</v>
      </c>
      <c r="E29" s="32" t="s">
        <v>105</v>
      </c>
      <c r="F29" s="27">
        <v>669202</v>
      </c>
      <c r="G29" s="28">
        <v>3860</v>
      </c>
      <c r="H29" s="28">
        <v>3855</v>
      </c>
      <c r="I29" s="28">
        <v>2000</v>
      </c>
      <c r="J29" s="12">
        <f t="shared" si="0"/>
        <v>2000</v>
      </c>
      <c r="K29" s="12">
        <f t="shared" si="4"/>
        <v>3238.3333333333335</v>
      </c>
      <c r="L29" s="12">
        <f t="shared" si="1"/>
        <v>3855</v>
      </c>
      <c r="M29" s="31">
        <f t="shared" si="2"/>
        <v>0.33116758794564083</v>
      </c>
      <c r="N29" s="133">
        <f>L29</f>
        <v>3855</v>
      </c>
      <c r="O29" s="134">
        <f t="shared" si="3"/>
        <v>30840</v>
      </c>
    </row>
    <row r="30" spans="2:15" ht="60" customHeight="1">
      <c r="B30" s="137">
        <v>19</v>
      </c>
      <c r="C30" s="40">
        <v>8</v>
      </c>
      <c r="D30" s="27" t="s">
        <v>8</v>
      </c>
      <c r="E30" s="32" t="s">
        <v>96</v>
      </c>
      <c r="F30" s="27">
        <v>1702939</v>
      </c>
      <c r="G30" s="28">
        <v>9000</v>
      </c>
      <c r="H30" s="28">
        <v>9010</v>
      </c>
      <c r="I30" s="28">
        <v>19000</v>
      </c>
      <c r="J30" s="12">
        <f t="shared" si="0"/>
        <v>9000</v>
      </c>
      <c r="K30" s="12">
        <f t="shared" si="4"/>
        <v>12336.666666666666</v>
      </c>
      <c r="L30" s="12">
        <f t="shared" si="1"/>
        <v>9010</v>
      </c>
      <c r="M30" s="31">
        <f t="shared" si="2"/>
        <v>0.4677615325611851</v>
      </c>
      <c r="N30" s="133">
        <f>L30</f>
        <v>9010</v>
      </c>
      <c r="O30" s="134">
        <f t="shared" si="3"/>
        <v>72080</v>
      </c>
    </row>
    <row r="31" spans="2:15" ht="67.5" customHeight="1">
      <c r="B31" s="137">
        <v>20</v>
      </c>
      <c r="C31" s="40">
        <v>20</v>
      </c>
      <c r="D31" s="27" t="s">
        <v>8</v>
      </c>
      <c r="E31" s="32" t="s">
        <v>100</v>
      </c>
      <c r="F31" s="27">
        <v>1663950</v>
      </c>
      <c r="G31" s="28">
        <v>11500</v>
      </c>
      <c r="H31" s="28">
        <v>11499</v>
      </c>
      <c r="I31" s="28">
        <v>6000</v>
      </c>
      <c r="J31" s="12">
        <f t="shared" si="0"/>
        <v>6000</v>
      </c>
      <c r="K31" s="12">
        <f t="shared" si="4"/>
        <v>9666.333333333334</v>
      </c>
      <c r="L31" s="12">
        <f t="shared" si="1"/>
        <v>11499</v>
      </c>
      <c r="M31" s="31">
        <f t="shared" si="2"/>
        <v>0.3284738623514657</v>
      </c>
      <c r="N31" s="133">
        <f>L31</f>
        <v>11499</v>
      </c>
      <c r="O31" s="134">
        <f t="shared" si="3"/>
        <v>229980</v>
      </c>
    </row>
    <row r="32" spans="2:15" ht="52.5" customHeight="1">
      <c r="B32" s="137">
        <v>21</v>
      </c>
      <c r="C32" s="40">
        <v>16</v>
      </c>
      <c r="D32" s="27" t="s">
        <v>8</v>
      </c>
      <c r="E32" s="32" t="s">
        <v>101</v>
      </c>
      <c r="F32" s="27">
        <v>1414984</v>
      </c>
      <c r="G32" s="28">
        <v>8600</v>
      </c>
      <c r="H32" s="28">
        <v>8590</v>
      </c>
      <c r="I32" s="28">
        <v>3000</v>
      </c>
      <c r="J32" s="12">
        <f t="shared" si="0"/>
        <v>3000</v>
      </c>
      <c r="K32" s="12">
        <f t="shared" si="4"/>
        <v>6730</v>
      </c>
      <c r="L32" s="12">
        <f t="shared" si="1"/>
        <v>8590</v>
      </c>
      <c r="M32" s="31">
        <f t="shared" si="2"/>
        <v>0.4799819651936868</v>
      </c>
      <c r="N32" s="133">
        <f>L32</f>
        <v>8590</v>
      </c>
      <c r="O32" s="134">
        <f t="shared" si="3"/>
        <v>137440</v>
      </c>
    </row>
    <row r="33" spans="2:15" ht="50.25" customHeight="1">
      <c r="B33" s="137">
        <v>22</v>
      </c>
      <c r="C33" s="40">
        <v>36</v>
      </c>
      <c r="D33" s="27" t="s">
        <v>8</v>
      </c>
      <c r="E33" s="32" t="s">
        <v>104</v>
      </c>
      <c r="F33" s="27">
        <v>1412515</v>
      </c>
      <c r="G33" s="28">
        <v>636</v>
      </c>
      <c r="H33" s="28">
        <v>637</v>
      </c>
      <c r="I33" s="28">
        <v>500</v>
      </c>
      <c r="J33" s="12">
        <f t="shared" si="0"/>
        <v>500</v>
      </c>
      <c r="K33" s="12">
        <f t="shared" si="4"/>
        <v>591</v>
      </c>
      <c r="L33" s="12">
        <f t="shared" si="1"/>
        <v>636</v>
      </c>
      <c r="M33" s="31">
        <f t="shared" si="2"/>
        <v>0.133350080973834</v>
      </c>
      <c r="N33" s="133">
        <f>K33</f>
        <v>591</v>
      </c>
      <c r="O33" s="134">
        <f t="shared" si="3"/>
        <v>21276</v>
      </c>
    </row>
    <row r="34" spans="2:15" ht="52.5" customHeight="1">
      <c r="B34" s="137">
        <v>23</v>
      </c>
      <c r="C34" s="40">
        <v>40</v>
      </c>
      <c r="D34" s="27" t="s">
        <v>8</v>
      </c>
      <c r="E34" s="32" t="s">
        <v>103</v>
      </c>
      <c r="F34" s="27">
        <v>1702912</v>
      </c>
      <c r="G34" s="28">
        <v>2100</v>
      </c>
      <c r="H34" s="28">
        <v>2099</v>
      </c>
      <c r="I34" s="28">
        <v>900</v>
      </c>
      <c r="J34" s="12">
        <f t="shared" si="0"/>
        <v>900</v>
      </c>
      <c r="K34" s="12">
        <f t="shared" si="4"/>
        <v>1699.6666666666667</v>
      </c>
      <c r="L34" s="12">
        <f t="shared" si="1"/>
        <v>2099</v>
      </c>
      <c r="M34" s="31">
        <f t="shared" si="2"/>
        <v>0.40745155622088564</v>
      </c>
      <c r="N34" s="133">
        <f>L34</f>
        <v>2099</v>
      </c>
      <c r="O34" s="134">
        <f t="shared" si="3"/>
        <v>83960</v>
      </c>
    </row>
    <row r="35" spans="2:15" ht="52.5" customHeight="1">
      <c r="B35" s="137">
        <v>24</v>
      </c>
      <c r="C35" s="40">
        <v>16</v>
      </c>
      <c r="D35" s="27" t="s">
        <v>8</v>
      </c>
      <c r="E35" s="32" t="s">
        <v>102</v>
      </c>
      <c r="F35" s="27">
        <v>1830171</v>
      </c>
      <c r="G35" s="28">
        <v>2500</v>
      </c>
      <c r="H35" s="28">
        <v>2510</v>
      </c>
      <c r="I35" s="28">
        <v>1500</v>
      </c>
      <c r="J35" s="12">
        <f t="shared" si="0"/>
        <v>1500</v>
      </c>
      <c r="K35" s="12">
        <f t="shared" si="4"/>
        <v>2170</v>
      </c>
      <c r="L35" s="12">
        <f t="shared" si="1"/>
        <v>2500</v>
      </c>
      <c r="M35" s="31">
        <f t="shared" si="2"/>
        <v>0.267400259472885</v>
      </c>
      <c r="N35" s="133">
        <f>L35</f>
        <v>2500</v>
      </c>
      <c r="O35" s="134">
        <f t="shared" si="3"/>
        <v>40000</v>
      </c>
    </row>
    <row r="36" spans="2:15" ht="60" customHeight="1">
      <c r="B36" s="137">
        <v>25</v>
      </c>
      <c r="C36" s="40">
        <v>40</v>
      </c>
      <c r="D36" s="27" t="s">
        <v>8</v>
      </c>
      <c r="E36" s="32" t="s">
        <v>72</v>
      </c>
      <c r="F36" s="27">
        <v>1821644</v>
      </c>
      <c r="G36" s="28">
        <v>18000</v>
      </c>
      <c r="H36" s="28">
        <v>17990</v>
      </c>
      <c r="I36" s="28">
        <v>18000</v>
      </c>
      <c r="J36" s="12">
        <f t="shared" si="0"/>
        <v>17990</v>
      </c>
      <c r="K36" s="12">
        <f t="shared" si="4"/>
        <v>17996.666666666668</v>
      </c>
      <c r="L36" s="12">
        <f t="shared" si="1"/>
        <v>18000</v>
      </c>
      <c r="M36" s="31">
        <f t="shared" si="2"/>
        <v>0.0003208095587273342</v>
      </c>
      <c r="N36" s="133">
        <f>K36</f>
        <v>17996.666666666668</v>
      </c>
      <c r="O36" s="134">
        <f t="shared" si="3"/>
        <v>719866.6666666667</v>
      </c>
    </row>
    <row r="37" spans="2:15" ht="54" customHeight="1">
      <c r="B37" s="137">
        <v>26</v>
      </c>
      <c r="C37" s="40">
        <v>10</v>
      </c>
      <c r="D37" s="27" t="s">
        <v>8</v>
      </c>
      <c r="E37" s="32" t="s">
        <v>73</v>
      </c>
      <c r="F37" s="27">
        <v>1724894</v>
      </c>
      <c r="G37" s="28">
        <v>3500</v>
      </c>
      <c r="H37" s="28">
        <v>3599</v>
      </c>
      <c r="I37" s="28">
        <v>4000</v>
      </c>
      <c r="J37" s="12">
        <f t="shared" si="0"/>
        <v>3500</v>
      </c>
      <c r="K37" s="12">
        <f t="shared" si="4"/>
        <v>3699.6666666666665</v>
      </c>
      <c r="L37" s="12">
        <f t="shared" si="1"/>
        <v>3599</v>
      </c>
      <c r="M37" s="31">
        <f t="shared" si="2"/>
        <v>0.07156446762448104</v>
      </c>
      <c r="N37" s="133">
        <f>K37</f>
        <v>3699.6666666666665</v>
      </c>
      <c r="O37" s="134">
        <f t="shared" si="3"/>
        <v>36996.666666666664</v>
      </c>
    </row>
    <row r="38" spans="2:15" ht="48.75" customHeight="1">
      <c r="B38" s="137">
        <v>27</v>
      </c>
      <c r="C38" s="40">
        <v>8</v>
      </c>
      <c r="D38" s="27" t="s">
        <v>8</v>
      </c>
      <c r="E38" s="32" t="s">
        <v>74</v>
      </c>
      <c r="F38" s="27">
        <v>1571338</v>
      </c>
      <c r="G38" s="28">
        <v>3800</v>
      </c>
      <c r="H38" s="28">
        <v>3799</v>
      </c>
      <c r="I38" s="28">
        <v>500</v>
      </c>
      <c r="J38" s="12">
        <f t="shared" si="0"/>
        <v>500</v>
      </c>
      <c r="K38" s="12">
        <f t="shared" si="4"/>
        <v>2699.6666666666665</v>
      </c>
      <c r="L38" s="12">
        <f t="shared" si="1"/>
        <v>3799</v>
      </c>
      <c r="M38" s="31">
        <f t="shared" si="2"/>
        <v>0.7056305514788603</v>
      </c>
      <c r="N38" s="133">
        <f>L38</f>
        <v>3799</v>
      </c>
      <c r="O38" s="134">
        <f t="shared" si="3"/>
        <v>30392</v>
      </c>
    </row>
    <row r="39" spans="2:15" ht="57" customHeight="1">
      <c r="B39" s="137">
        <v>28</v>
      </c>
      <c r="C39" s="40">
        <v>10</v>
      </c>
      <c r="D39" s="27" t="s">
        <v>8</v>
      </c>
      <c r="E39" s="32" t="s">
        <v>75</v>
      </c>
      <c r="F39" s="27">
        <v>1798464</v>
      </c>
      <c r="G39" s="28">
        <v>42000</v>
      </c>
      <c r="H39" s="28">
        <v>43000</v>
      </c>
      <c r="I39" s="28">
        <v>50000</v>
      </c>
      <c r="J39" s="12">
        <f t="shared" si="0"/>
        <v>42000</v>
      </c>
      <c r="K39" s="12">
        <f t="shared" si="4"/>
        <v>45000</v>
      </c>
      <c r="L39" s="12">
        <f t="shared" si="1"/>
        <v>43000</v>
      </c>
      <c r="M39" s="31">
        <f t="shared" si="2"/>
        <v>0.09686442096757053</v>
      </c>
      <c r="N39" s="133">
        <f>K39</f>
        <v>45000</v>
      </c>
      <c r="O39" s="134">
        <f t="shared" si="3"/>
        <v>450000</v>
      </c>
    </row>
    <row r="40" spans="2:15" ht="48" customHeight="1">
      <c r="B40" s="137">
        <v>29</v>
      </c>
      <c r="C40" s="40">
        <v>1600</v>
      </c>
      <c r="D40" s="27" t="s">
        <v>76</v>
      </c>
      <c r="E40" s="32" t="s">
        <v>77</v>
      </c>
      <c r="F40" s="27">
        <v>1823728</v>
      </c>
      <c r="G40" s="28">
        <v>16</v>
      </c>
      <c r="H40" s="28">
        <v>16.1</v>
      </c>
      <c r="I40" s="28">
        <v>6</v>
      </c>
      <c r="J40" s="12">
        <f t="shared" si="0"/>
        <v>6</v>
      </c>
      <c r="K40" s="12">
        <f t="shared" si="4"/>
        <v>12.700000000000001</v>
      </c>
      <c r="L40" s="12">
        <f t="shared" si="1"/>
        <v>16</v>
      </c>
      <c r="M40" s="31">
        <f t="shared" si="2"/>
        <v>0.45689650634343326</v>
      </c>
      <c r="N40" s="133">
        <f>L40</f>
        <v>16</v>
      </c>
      <c r="O40" s="134">
        <f t="shared" si="3"/>
        <v>25600</v>
      </c>
    </row>
    <row r="41" spans="2:15" ht="63" customHeight="1">
      <c r="B41" s="137">
        <v>30</v>
      </c>
      <c r="C41" s="40">
        <v>800</v>
      </c>
      <c r="D41" s="27" t="s">
        <v>76</v>
      </c>
      <c r="E41" s="32" t="s">
        <v>78</v>
      </c>
      <c r="F41" s="27">
        <v>1343416</v>
      </c>
      <c r="G41" s="28">
        <v>22</v>
      </c>
      <c r="H41" s="28">
        <v>27.75</v>
      </c>
      <c r="I41" s="28">
        <v>8</v>
      </c>
      <c r="J41" s="12">
        <f t="shared" si="0"/>
        <v>8</v>
      </c>
      <c r="K41" s="12">
        <f t="shared" si="4"/>
        <v>19.25</v>
      </c>
      <c r="L41" s="12">
        <f t="shared" si="1"/>
        <v>22</v>
      </c>
      <c r="M41" s="31">
        <f t="shared" si="2"/>
        <v>0.5276947962054557</v>
      </c>
      <c r="N41" s="133">
        <f>L41</f>
        <v>22</v>
      </c>
      <c r="O41" s="134">
        <f t="shared" si="3"/>
        <v>17600</v>
      </c>
    </row>
    <row r="42" spans="2:15" ht="34.5" customHeight="1">
      <c r="B42" s="137">
        <v>31</v>
      </c>
      <c r="C42" s="40">
        <v>200</v>
      </c>
      <c r="D42" s="27" t="s">
        <v>76</v>
      </c>
      <c r="E42" s="32" t="s">
        <v>79</v>
      </c>
      <c r="F42" s="27">
        <v>1559028</v>
      </c>
      <c r="G42" s="28">
        <v>96</v>
      </c>
      <c r="H42" s="28">
        <v>97.5</v>
      </c>
      <c r="I42" s="28">
        <v>90</v>
      </c>
      <c r="J42" s="12">
        <f t="shared" si="0"/>
        <v>90</v>
      </c>
      <c r="K42" s="12">
        <f t="shared" si="4"/>
        <v>94.5</v>
      </c>
      <c r="L42" s="12">
        <f t="shared" si="1"/>
        <v>96</v>
      </c>
      <c r="M42" s="31">
        <f t="shared" si="2"/>
        <v>0.04199605255658081</v>
      </c>
      <c r="N42" s="133">
        <f>K42</f>
        <v>94.5</v>
      </c>
      <c r="O42" s="134">
        <f t="shared" si="3"/>
        <v>18900</v>
      </c>
    </row>
    <row r="43" spans="2:15" ht="25.5" customHeight="1">
      <c r="B43" s="137">
        <v>32</v>
      </c>
      <c r="C43" s="40">
        <v>2000</v>
      </c>
      <c r="D43" s="27" t="s">
        <v>76</v>
      </c>
      <c r="E43" s="32" t="s">
        <v>80</v>
      </c>
      <c r="F43" s="27">
        <v>838764</v>
      </c>
      <c r="G43" s="28">
        <v>7</v>
      </c>
      <c r="H43" s="28">
        <v>7.5</v>
      </c>
      <c r="I43" s="28">
        <v>5</v>
      </c>
      <c r="J43" s="12">
        <f t="shared" si="0"/>
        <v>5</v>
      </c>
      <c r="K43" s="12">
        <f t="shared" si="4"/>
        <v>6.5</v>
      </c>
      <c r="L43" s="12">
        <f t="shared" si="1"/>
        <v>7</v>
      </c>
      <c r="M43" s="31">
        <f t="shared" si="2"/>
        <v>0.20351933162035313</v>
      </c>
      <c r="N43" s="133">
        <f>K43</f>
        <v>6.5</v>
      </c>
      <c r="O43" s="134">
        <f t="shared" si="3"/>
        <v>13000</v>
      </c>
    </row>
    <row r="44" spans="2:15" ht="23.25" customHeight="1">
      <c r="B44" s="137">
        <v>33</v>
      </c>
      <c r="C44" s="40">
        <v>72</v>
      </c>
      <c r="D44" s="27" t="s">
        <v>8</v>
      </c>
      <c r="E44" s="32" t="s">
        <v>81</v>
      </c>
      <c r="F44" s="27">
        <v>1742795</v>
      </c>
      <c r="G44" s="28">
        <v>50</v>
      </c>
      <c r="H44" s="28">
        <v>50.5</v>
      </c>
      <c r="I44" s="28">
        <v>60</v>
      </c>
      <c r="J44" s="12">
        <f t="shared" si="0"/>
        <v>50</v>
      </c>
      <c r="K44" s="12">
        <f t="shared" si="4"/>
        <v>53.5</v>
      </c>
      <c r="L44" s="12">
        <f t="shared" si="1"/>
        <v>50.5</v>
      </c>
      <c r="M44" s="31">
        <f t="shared" si="2"/>
        <v>0.10532175392135182</v>
      </c>
      <c r="N44" s="133">
        <f>K44</f>
        <v>53.5</v>
      </c>
      <c r="O44" s="134">
        <f t="shared" si="3"/>
        <v>3852</v>
      </c>
    </row>
    <row r="45" spans="2:15" ht="24.75" customHeight="1">
      <c r="B45" s="137">
        <v>34</v>
      </c>
      <c r="C45" s="40">
        <v>4880</v>
      </c>
      <c r="D45" s="27" t="s">
        <v>76</v>
      </c>
      <c r="E45" s="32" t="s">
        <v>82</v>
      </c>
      <c r="F45" s="27">
        <v>1291688</v>
      </c>
      <c r="G45" s="28">
        <v>11</v>
      </c>
      <c r="H45" s="28">
        <v>11.2</v>
      </c>
      <c r="I45" s="28">
        <v>4.5</v>
      </c>
      <c r="J45" s="12">
        <f t="shared" si="0"/>
        <v>4.5</v>
      </c>
      <c r="K45" s="12">
        <f t="shared" si="4"/>
        <v>8.9</v>
      </c>
      <c r="L45" s="12">
        <f t="shared" si="1"/>
        <v>11</v>
      </c>
      <c r="M45" s="31">
        <f t="shared" si="2"/>
        <v>0.42829479893361616</v>
      </c>
      <c r="N45" s="133">
        <f>L45</f>
        <v>11</v>
      </c>
      <c r="O45" s="134">
        <f t="shared" si="3"/>
        <v>53680</v>
      </c>
    </row>
    <row r="46" spans="2:15" s="29" customFormat="1" ht="35.25" customHeight="1">
      <c r="B46" s="137">
        <v>35</v>
      </c>
      <c r="C46" s="40">
        <v>300</v>
      </c>
      <c r="D46" s="27" t="s">
        <v>8</v>
      </c>
      <c r="E46" s="32" t="s">
        <v>83</v>
      </c>
      <c r="F46" s="27">
        <v>1833162</v>
      </c>
      <c r="G46" s="28">
        <v>50</v>
      </c>
      <c r="H46" s="28">
        <v>49.9</v>
      </c>
      <c r="I46" s="28">
        <v>30</v>
      </c>
      <c r="J46" s="12">
        <f t="shared" si="0"/>
        <v>30</v>
      </c>
      <c r="K46" s="12">
        <f t="shared" si="4"/>
        <v>43.300000000000004</v>
      </c>
      <c r="L46" s="12">
        <f t="shared" si="1"/>
        <v>49.9</v>
      </c>
      <c r="M46" s="31">
        <f t="shared" si="2"/>
        <v>0.26601030933737757</v>
      </c>
      <c r="N46" s="133">
        <f>L46</f>
        <v>49.9</v>
      </c>
      <c r="O46" s="134">
        <f t="shared" si="3"/>
        <v>14970</v>
      </c>
    </row>
    <row r="47" spans="2:15" ht="35.25" customHeight="1">
      <c r="B47" s="137">
        <v>36</v>
      </c>
      <c r="C47" s="40">
        <v>300</v>
      </c>
      <c r="D47" s="27" t="s">
        <v>8</v>
      </c>
      <c r="E47" s="32" t="s">
        <v>84</v>
      </c>
      <c r="F47" s="27">
        <v>1833707</v>
      </c>
      <c r="G47" s="28">
        <v>50</v>
      </c>
      <c r="H47" s="28">
        <v>19.9</v>
      </c>
      <c r="I47" s="28">
        <v>30</v>
      </c>
      <c r="J47" s="12">
        <f t="shared" si="0"/>
        <v>19.9</v>
      </c>
      <c r="K47" s="12">
        <f t="shared" si="4"/>
        <v>33.300000000000004</v>
      </c>
      <c r="L47" s="12">
        <f t="shared" si="1"/>
        <v>30</v>
      </c>
      <c r="M47" s="31">
        <f t="shared" si="2"/>
        <v>0.4600283039714718</v>
      </c>
      <c r="N47" s="133">
        <f>L47</f>
        <v>30</v>
      </c>
      <c r="O47" s="134">
        <f t="shared" si="3"/>
        <v>9000</v>
      </c>
    </row>
    <row r="48" spans="2:15" ht="30.75" customHeight="1">
      <c r="B48" s="137">
        <v>37</v>
      </c>
      <c r="C48" s="40">
        <v>80</v>
      </c>
      <c r="D48" s="27" t="s">
        <v>8</v>
      </c>
      <c r="E48" s="32" t="s">
        <v>85</v>
      </c>
      <c r="F48" s="27">
        <v>1823590</v>
      </c>
      <c r="G48" s="28">
        <v>20</v>
      </c>
      <c r="H48" s="28">
        <v>49.9</v>
      </c>
      <c r="I48" s="28">
        <v>20</v>
      </c>
      <c r="J48" s="12">
        <f t="shared" si="0"/>
        <v>20</v>
      </c>
      <c r="K48" s="12">
        <f t="shared" si="4"/>
        <v>29.96666666666667</v>
      </c>
      <c r="L48" s="12">
        <f t="shared" si="1"/>
        <v>20</v>
      </c>
      <c r="M48" s="31">
        <f t="shared" si="2"/>
        <v>0.5760658414494929</v>
      </c>
      <c r="N48" s="133">
        <f>L48</f>
        <v>20</v>
      </c>
      <c r="O48" s="134">
        <f t="shared" si="3"/>
        <v>1600</v>
      </c>
    </row>
    <row r="49" spans="2:15" ht="22.5">
      <c r="B49" s="137">
        <v>38</v>
      </c>
      <c r="C49" s="40">
        <v>80</v>
      </c>
      <c r="D49" s="27" t="s">
        <v>8</v>
      </c>
      <c r="E49" s="32" t="s">
        <v>86</v>
      </c>
      <c r="F49" s="27">
        <v>1823418</v>
      </c>
      <c r="G49" s="28">
        <v>25</v>
      </c>
      <c r="H49" s="28">
        <v>25.1</v>
      </c>
      <c r="I49" s="28">
        <v>25</v>
      </c>
      <c r="J49" s="12">
        <f t="shared" si="0"/>
        <v>25</v>
      </c>
      <c r="K49" s="12">
        <f t="shared" si="4"/>
        <v>25.03333333333333</v>
      </c>
      <c r="L49" s="12">
        <f t="shared" si="1"/>
        <v>25</v>
      </c>
      <c r="M49" s="31">
        <f t="shared" si="2"/>
        <v>0.0023063259754579255</v>
      </c>
      <c r="N49" s="133">
        <f>K49</f>
        <v>25.03333333333333</v>
      </c>
      <c r="O49" s="134">
        <f t="shared" si="3"/>
        <v>2002.6666666666665</v>
      </c>
    </row>
    <row r="50" spans="2:15" s="29" customFormat="1" ht="39" customHeight="1">
      <c r="B50" s="137">
        <v>39</v>
      </c>
      <c r="C50" s="40">
        <v>160</v>
      </c>
      <c r="D50" s="27" t="s">
        <v>8</v>
      </c>
      <c r="E50" s="32" t="s">
        <v>87</v>
      </c>
      <c r="F50" s="27">
        <v>1803077</v>
      </c>
      <c r="G50" s="28">
        <v>20</v>
      </c>
      <c r="H50" s="28">
        <v>19.99</v>
      </c>
      <c r="I50" s="28">
        <v>10</v>
      </c>
      <c r="J50" s="12">
        <f t="shared" si="0"/>
        <v>10</v>
      </c>
      <c r="K50" s="12">
        <f t="shared" si="4"/>
        <v>16.66333333333333</v>
      </c>
      <c r="L50" s="12">
        <f t="shared" si="1"/>
        <v>19.99</v>
      </c>
      <c r="M50" s="31">
        <f t="shared" si="2"/>
        <v>0.3463063476713237</v>
      </c>
      <c r="N50" s="133">
        <f>L50</f>
        <v>19.99</v>
      </c>
      <c r="O50" s="134">
        <f t="shared" si="3"/>
        <v>3198.3999999999996</v>
      </c>
    </row>
    <row r="51" spans="2:15" ht="27.75" customHeight="1">
      <c r="B51" s="137">
        <v>40</v>
      </c>
      <c r="C51" s="40">
        <v>200</v>
      </c>
      <c r="D51" s="27" t="s">
        <v>8</v>
      </c>
      <c r="E51" s="32" t="s">
        <v>88</v>
      </c>
      <c r="F51" s="27">
        <v>1803077</v>
      </c>
      <c r="G51" s="28">
        <v>20</v>
      </c>
      <c r="H51" s="28">
        <v>19.99</v>
      </c>
      <c r="I51" s="28">
        <v>10</v>
      </c>
      <c r="J51" s="12">
        <f t="shared" si="0"/>
        <v>10</v>
      </c>
      <c r="K51" s="12">
        <f t="shared" si="4"/>
        <v>16.66333333333333</v>
      </c>
      <c r="L51" s="12">
        <f t="shared" si="1"/>
        <v>19.99</v>
      </c>
      <c r="M51" s="31">
        <f t="shared" si="2"/>
        <v>0.3463063476713237</v>
      </c>
      <c r="N51" s="133">
        <f>L51</f>
        <v>19.99</v>
      </c>
      <c r="O51" s="134">
        <f t="shared" si="3"/>
        <v>3997.9999999999995</v>
      </c>
    </row>
    <row r="52" spans="2:15" ht="63" customHeight="1">
      <c r="B52" s="137">
        <v>41</v>
      </c>
      <c r="C52" s="40">
        <v>1600</v>
      </c>
      <c r="D52" s="27" t="s">
        <v>76</v>
      </c>
      <c r="E52" s="32" t="s">
        <v>89</v>
      </c>
      <c r="F52" s="27">
        <v>1555090</v>
      </c>
      <c r="G52" s="28">
        <v>60</v>
      </c>
      <c r="H52" s="28">
        <v>59.5</v>
      </c>
      <c r="I52" s="28">
        <v>60</v>
      </c>
      <c r="J52" s="12">
        <f t="shared" si="0"/>
        <v>59.5</v>
      </c>
      <c r="K52" s="12">
        <f t="shared" si="4"/>
        <v>59.833333333333336</v>
      </c>
      <c r="L52" s="12">
        <f t="shared" si="1"/>
        <v>60</v>
      </c>
      <c r="M52" s="31">
        <f t="shared" si="2"/>
        <v>0.004824654060080437</v>
      </c>
      <c r="N52" s="133">
        <f>K52</f>
        <v>59.833333333333336</v>
      </c>
      <c r="O52" s="134">
        <f t="shared" si="3"/>
        <v>95733.33333333334</v>
      </c>
    </row>
    <row r="53" spans="2:15" ht="55.5" customHeight="1">
      <c r="B53" s="137">
        <v>42</v>
      </c>
      <c r="C53" s="40">
        <v>15</v>
      </c>
      <c r="D53" s="27" t="s">
        <v>8</v>
      </c>
      <c r="E53" s="32" t="s">
        <v>90</v>
      </c>
      <c r="F53" s="27">
        <v>1859404</v>
      </c>
      <c r="G53" s="28">
        <v>4000</v>
      </c>
      <c r="H53" s="28">
        <v>3900</v>
      </c>
      <c r="I53" s="28">
        <v>2500</v>
      </c>
      <c r="J53" s="12">
        <f t="shared" si="0"/>
        <v>2500</v>
      </c>
      <c r="K53" s="12">
        <f t="shared" si="4"/>
        <v>3466.6666666666665</v>
      </c>
      <c r="L53" s="12">
        <f t="shared" si="1"/>
        <v>3900</v>
      </c>
      <c r="M53" s="31">
        <f t="shared" si="2"/>
        <v>0.2419181851040214</v>
      </c>
      <c r="N53" s="133">
        <f>K53</f>
        <v>3466.6666666666665</v>
      </c>
      <c r="O53" s="134">
        <f t="shared" si="3"/>
        <v>52000</v>
      </c>
    </row>
    <row r="54" spans="2:15" ht="100.5" customHeight="1">
      <c r="B54" s="137">
        <v>43</v>
      </c>
      <c r="C54" s="40">
        <v>1</v>
      </c>
      <c r="D54" s="27" t="s">
        <v>8</v>
      </c>
      <c r="E54" s="32" t="s">
        <v>91</v>
      </c>
      <c r="F54" s="27">
        <v>102504</v>
      </c>
      <c r="G54" s="28">
        <v>31500</v>
      </c>
      <c r="H54" s="28">
        <v>31900</v>
      </c>
      <c r="I54" s="28">
        <v>25000</v>
      </c>
      <c r="J54" s="12">
        <f t="shared" si="0"/>
        <v>25000</v>
      </c>
      <c r="K54" s="12">
        <f t="shared" si="4"/>
        <v>29466.666666666668</v>
      </c>
      <c r="L54" s="12">
        <f t="shared" si="1"/>
        <v>31500</v>
      </c>
      <c r="M54" s="31">
        <f t="shared" si="2"/>
        <v>0.13145068960811096</v>
      </c>
      <c r="N54" s="133">
        <f>K54</f>
        <v>29466.666666666668</v>
      </c>
      <c r="O54" s="134">
        <f t="shared" si="3"/>
        <v>29466.666666666668</v>
      </c>
    </row>
    <row r="55" spans="2:15" ht="101.25" customHeight="1">
      <c r="B55" s="137">
        <v>44</v>
      </c>
      <c r="C55" s="40">
        <v>1</v>
      </c>
      <c r="D55" s="27" t="s">
        <v>8</v>
      </c>
      <c r="E55" s="32" t="s">
        <v>92</v>
      </c>
      <c r="F55" s="27">
        <v>102504</v>
      </c>
      <c r="G55" s="28">
        <v>10000</v>
      </c>
      <c r="H55" s="28">
        <v>10900</v>
      </c>
      <c r="I55" s="28">
        <v>10000</v>
      </c>
      <c r="J55" s="12">
        <f t="shared" si="0"/>
        <v>10000</v>
      </c>
      <c r="K55" s="12">
        <f t="shared" si="4"/>
        <v>10300</v>
      </c>
      <c r="L55" s="12">
        <f t="shared" si="1"/>
        <v>10000</v>
      </c>
      <c r="M55" s="31">
        <f t="shared" si="2"/>
        <v>0.050448081773850795</v>
      </c>
      <c r="N55" s="133">
        <f>K55</f>
        <v>10300</v>
      </c>
      <c r="O55" s="134">
        <f t="shared" si="3"/>
        <v>10300</v>
      </c>
    </row>
    <row r="56" spans="2:15" ht="28.5" customHeight="1">
      <c r="B56" s="116"/>
      <c r="C56" s="117"/>
      <c r="D56" s="117"/>
      <c r="E56" s="117"/>
      <c r="F56" s="117"/>
      <c r="G56" s="117"/>
      <c r="H56" s="117"/>
      <c r="I56" s="117"/>
      <c r="J56" s="117"/>
      <c r="K56" s="117"/>
      <c r="L56" s="117"/>
      <c r="M56" s="117"/>
      <c r="N56" s="118"/>
      <c r="O56" s="12">
        <f>SUM(O12:O55)</f>
        <v>3406595.733333333</v>
      </c>
    </row>
    <row r="57" spans="2:15" ht="59.25" customHeight="1">
      <c r="B57" s="138" t="s">
        <v>93</v>
      </c>
      <c r="C57" s="138"/>
      <c r="D57" s="138"/>
      <c r="E57" s="138"/>
      <c r="F57" s="138"/>
      <c r="G57" s="138"/>
      <c r="H57" s="138"/>
      <c r="I57" s="138"/>
      <c r="J57" s="138"/>
      <c r="K57" s="139">
        <f>O56</f>
        <v>3406595.733333333</v>
      </c>
      <c r="L57" s="139"/>
      <c r="M57" s="139"/>
      <c r="N57" s="139"/>
      <c r="O57" s="139"/>
    </row>
    <row r="58" spans="2:15" ht="123.75" customHeight="1" hidden="1">
      <c r="B58" s="55" t="s">
        <v>94</v>
      </c>
      <c r="C58" s="55"/>
      <c r="D58" s="55"/>
      <c r="E58" s="55"/>
      <c r="F58" s="55"/>
      <c r="G58" s="55"/>
      <c r="H58" s="55"/>
      <c r="I58" s="55"/>
      <c r="J58" s="55"/>
      <c r="K58" s="55"/>
      <c r="L58" s="55"/>
      <c r="M58" s="55"/>
      <c r="N58" s="55"/>
      <c r="O58" s="55"/>
    </row>
    <row r="59" spans="2:15" ht="15" hidden="1">
      <c r="B59" s="109" t="s">
        <v>95</v>
      </c>
      <c r="C59" s="110"/>
      <c r="D59" s="110"/>
      <c r="E59" s="110"/>
      <c r="F59" s="110"/>
      <c r="G59" s="110"/>
      <c r="H59" s="110"/>
      <c r="I59" s="110"/>
      <c r="J59" s="110"/>
      <c r="K59" s="110"/>
      <c r="L59" s="110"/>
      <c r="M59" s="110"/>
      <c r="N59" s="110"/>
      <c r="O59" s="111"/>
    </row>
    <row r="60" spans="2:15" s="37" customFormat="1" ht="15">
      <c r="B60" s="41"/>
      <c r="C60" s="41"/>
      <c r="D60" s="41"/>
      <c r="E60" s="42"/>
      <c r="F60" s="41"/>
      <c r="G60" s="41"/>
      <c r="H60" s="41"/>
      <c r="I60" s="41"/>
      <c r="J60" s="41"/>
      <c r="K60" s="41"/>
      <c r="L60" s="41"/>
      <c r="M60" s="43"/>
      <c r="N60" s="41"/>
      <c r="O60" s="41"/>
    </row>
    <row r="61" spans="2:15" s="37" customFormat="1" ht="15">
      <c r="B61" s="41"/>
      <c r="C61" s="41"/>
      <c r="D61" s="41"/>
      <c r="E61" s="42"/>
      <c r="F61" s="41"/>
      <c r="G61" s="41"/>
      <c r="H61" s="41"/>
      <c r="I61" s="41"/>
      <c r="J61" s="41"/>
      <c r="K61" s="41"/>
      <c r="L61" s="41"/>
      <c r="M61" s="43"/>
      <c r="N61" s="41"/>
      <c r="O61" s="41"/>
    </row>
    <row r="62" spans="2:15" s="37" customFormat="1" ht="15">
      <c r="B62" s="41"/>
      <c r="C62" s="41"/>
      <c r="D62" s="41"/>
      <c r="E62" s="42"/>
      <c r="F62" s="41"/>
      <c r="G62" s="41"/>
      <c r="H62" s="41"/>
      <c r="I62" s="41"/>
      <c r="J62" s="41"/>
      <c r="K62" s="41"/>
      <c r="L62" s="41"/>
      <c r="M62" s="43"/>
      <c r="N62" s="41"/>
      <c r="O62" s="41"/>
    </row>
    <row r="63" spans="2:15" s="37" customFormat="1" ht="15">
      <c r="B63" s="41"/>
      <c r="C63" s="41"/>
      <c r="D63" s="41"/>
      <c r="E63" s="42"/>
      <c r="F63" s="41"/>
      <c r="G63" s="41"/>
      <c r="H63" s="41"/>
      <c r="I63" s="41"/>
      <c r="J63" s="41"/>
      <c r="K63" s="41"/>
      <c r="L63" s="41"/>
      <c r="M63" s="43"/>
      <c r="N63" s="41"/>
      <c r="O63" s="41"/>
    </row>
    <row r="64" spans="2:15" s="37" customFormat="1" ht="15">
      <c r="B64" s="41"/>
      <c r="C64" s="41"/>
      <c r="D64" s="41"/>
      <c r="E64" s="42"/>
      <c r="F64" s="41"/>
      <c r="G64" s="41"/>
      <c r="H64" s="41"/>
      <c r="I64" s="41"/>
      <c r="J64" s="41"/>
      <c r="K64" s="41"/>
      <c r="L64" s="41"/>
      <c r="M64" s="43"/>
      <c r="N64" s="41"/>
      <c r="O64" s="41"/>
    </row>
    <row r="65" spans="2:15" s="37" customFormat="1" ht="15">
      <c r="B65" s="41"/>
      <c r="C65" s="41"/>
      <c r="D65" s="41"/>
      <c r="E65" s="42"/>
      <c r="F65" s="41"/>
      <c r="G65" s="41"/>
      <c r="H65" s="41"/>
      <c r="I65" s="41"/>
      <c r="J65" s="41"/>
      <c r="K65" s="41"/>
      <c r="L65" s="41"/>
      <c r="M65" s="43"/>
      <c r="N65" s="41"/>
      <c r="O65" s="41"/>
    </row>
    <row r="66" spans="2:15" s="37" customFormat="1" ht="15">
      <c r="B66" s="41"/>
      <c r="C66" s="41"/>
      <c r="D66" s="41"/>
      <c r="E66" s="42"/>
      <c r="F66" s="41"/>
      <c r="G66" s="41"/>
      <c r="H66" s="41"/>
      <c r="I66" s="41"/>
      <c r="J66" s="41"/>
      <c r="K66" s="41"/>
      <c r="L66" s="41"/>
      <c r="M66" s="43"/>
      <c r="N66" s="41"/>
      <c r="O66" s="41"/>
    </row>
    <row r="67" spans="2:15" s="37" customFormat="1" ht="15">
      <c r="B67" s="41"/>
      <c r="C67" s="41"/>
      <c r="D67" s="41"/>
      <c r="E67" s="42"/>
      <c r="F67" s="41"/>
      <c r="G67" s="41"/>
      <c r="H67" s="41"/>
      <c r="I67" s="41"/>
      <c r="J67" s="41"/>
      <c r="K67" s="41"/>
      <c r="L67" s="41"/>
      <c r="M67" s="43"/>
      <c r="N67" s="41"/>
      <c r="O67" s="41"/>
    </row>
    <row r="68" spans="2:15" s="37" customFormat="1" ht="15">
      <c r="B68" s="41"/>
      <c r="C68" s="41"/>
      <c r="D68" s="41"/>
      <c r="E68" s="42"/>
      <c r="F68" s="41"/>
      <c r="G68" s="41"/>
      <c r="H68" s="41"/>
      <c r="I68" s="41"/>
      <c r="J68" s="41"/>
      <c r="K68" s="41"/>
      <c r="L68" s="41"/>
      <c r="M68" s="43"/>
      <c r="N68" s="41"/>
      <c r="O68" s="41"/>
    </row>
    <row r="69" spans="2:15" s="37" customFormat="1" ht="15">
      <c r="B69" s="41"/>
      <c r="C69" s="41"/>
      <c r="D69" s="41"/>
      <c r="E69" s="42"/>
      <c r="F69" s="41"/>
      <c r="G69" s="41"/>
      <c r="H69" s="41"/>
      <c r="I69" s="41"/>
      <c r="J69" s="41"/>
      <c r="K69" s="41"/>
      <c r="L69" s="41"/>
      <c r="M69" s="43"/>
      <c r="N69" s="41"/>
      <c r="O69" s="41"/>
    </row>
    <row r="70" spans="2:15" s="37" customFormat="1" ht="15">
      <c r="B70" s="41"/>
      <c r="C70" s="41"/>
      <c r="D70" s="41"/>
      <c r="E70" s="42"/>
      <c r="F70" s="41"/>
      <c r="G70" s="41"/>
      <c r="H70" s="41"/>
      <c r="I70" s="41"/>
      <c r="J70" s="41"/>
      <c r="K70" s="41"/>
      <c r="L70" s="41"/>
      <c r="M70" s="43"/>
      <c r="N70" s="41"/>
      <c r="O70" s="41"/>
    </row>
    <row r="71" spans="2:15" s="37" customFormat="1" ht="15">
      <c r="B71" s="41"/>
      <c r="C71" s="41"/>
      <c r="D71" s="41"/>
      <c r="E71" s="42"/>
      <c r="F71" s="41"/>
      <c r="G71" s="41"/>
      <c r="H71" s="41"/>
      <c r="I71" s="41"/>
      <c r="J71" s="41"/>
      <c r="K71" s="41"/>
      <c r="L71" s="41"/>
      <c r="M71" s="43"/>
      <c r="N71" s="41"/>
      <c r="O71" s="41"/>
    </row>
    <row r="72" spans="2:15" s="37" customFormat="1" ht="15">
      <c r="B72" s="41"/>
      <c r="C72" s="41"/>
      <c r="D72" s="41"/>
      <c r="E72" s="42"/>
      <c r="F72" s="41"/>
      <c r="G72" s="41"/>
      <c r="H72" s="41"/>
      <c r="I72" s="41"/>
      <c r="J72" s="41"/>
      <c r="K72" s="41"/>
      <c r="L72" s="41"/>
      <c r="M72" s="43"/>
      <c r="N72" s="41"/>
      <c r="O72" s="41"/>
    </row>
    <row r="73" spans="2:15" s="37" customFormat="1" ht="15">
      <c r="B73" s="41"/>
      <c r="C73" s="41"/>
      <c r="D73" s="41"/>
      <c r="E73" s="42"/>
      <c r="F73" s="41"/>
      <c r="G73" s="41"/>
      <c r="H73" s="41"/>
      <c r="I73" s="41"/>
      <c r="J73" s="41"/>
      <c r="K73" s="41"/>
      <c r="L73" s="41"/>
      <c r="M73" s="43"/>
      <c r="N73" s="41"/>
      <c r="O73" s="41"/>
    </row>
    <row r="74" spans="2:15" s="37" customFormat="1" ht="15">
      <c r="B74" s="41"/>
      <c r="C74" s="41"/>
      <c r="D74" s="41"/>
      <c r="E74" s="42"/>
      <c r="F74" s="41"/>
      <c r="G74" s="41"/>
      <c r="H74" s="41"/>
      <c r="I74" s="41"/>
      <c r="J74" s="41"/>
      <c r="K74" s="41"/>
      <c r="L74" s="41"/>
      <c r="M74" s="43"/>
      <c r="N74" s="41"/>
      <c r="O74" s="41"/>
    </row>
  </sheetData>
  <mergeCells count="21">
    <mergeCell ref="B5:E5"/>
    <mergeCell ref="F3:O6"/>
    <mergeCell ref="B8:O8"/>
    <mergeCell ref="B1:O1"/>
    <mergeCell ref="B2:O2"/>
    <mergeCell ref="B7:O7"/>
    <mergeCell ref="B6:E6"/>
    <mergeCell ref="F9:F11"/>
    <mergeCell ref="G9:I9"/>
    <mergeCell ref="N9:O10"/>
    <mergeCell ref="J9:L10"/>
    <mergeCell ref="B59:O59"/>
    <mergeCell ref="B58:O58"/>
    <mergeCell ref="B57:J57"/>
    <mergeCell ref="K57:O57"/>
    <mergeCell ref="B9:B11"/>
    <mergeCell ref="C9:C11"/>
    <mergeCell ref="D9:D11"/>
    <mergeCell ref="E9:E11"/>
    <mergeCell ref="M9:M11"/>
    <mergeCell ref="B56:N56"/>
  </mergeCells>
  <printOptions/>
  <pageMargins left="0.511811024" right="0.511811024" top="0.787401575" bottom="0.787401575" header="0.31496062" footer="0.31496062"/>
  <pageSetup fitToHeight="0" fitToWidth="1" horizontalDpi="300" verticalDpi="300" orientation="landscape" paperSize="9" scale="3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eb315a1-fd1d-4c46-bc29-5324cfd3155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766810F3571A045AFE15E5668B16395" ma:contentTypeVersion="12" ma:contentTypeDescription="Crie um novo documento." ma:contentTypeScope="" ma:versionID="92a54f8bdf2613f29ed5dfe1735421eb">
  <xsd:schema xmlns:xsd="http://www.w3.org/2001/XMLSchema" xmlns:xs="http://www.w3.org/2001/XMLSchema" xmlns:p="http://schemas.microsoft.com/office/2006/metadata/properties" xmlns:ns2="1eb315a1-fd1d-4c46-bc29-5324cfd31550" xmlns:ns3="040f40de-0951-4de2-aa99-b1ea904a966c" targetNamespace="http://schemas.microsoft.com/office/2006/metadata/properties" ma:root="true" ma:fieldsID="4867d88ea3bfcdac79e0acfb0c6c4797" ns2:_="" ns3:_="">
    <xsd:import namespace="1eb315a1-fd1d-4c46-bc29-5324cfd31550"/>
    <xsd:import namespace="040f40de-0951-4de2-aa99-b1ea904a96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b315a1-fd1d-4c46-bc29-5324cfd31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de liberação" ma:internalName="Status_x0020_de_x0020_libera_x00e7__x00e3_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f40de-0951-4de2-aa99-b1ea904a966c"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BAFDF-1564-4C74-90E1-FD7F2B807210}">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40f40de-0951-4de2-aa99-b1ea904a966c"/>
    <ds:schemaRef ds:uri="1eb315a1-fd1d-4c46-bc29-5324cfd31550"/>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2425098-A354-4BAF-A2E8-2278E711B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b315a1-fd1d-4c46-bc29-5324cfd31550"/>
    <ds:schemaRef ds:uri="040f40de-0951-4de2-aa99-b1ea904a96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9A6100-6B42-44A0-9EBB-BEE98F3FBE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Ministério Público do Estado de Minas Gerais - MPMG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Angelo Oliveira</dc:creator>
  <cp:keywords/>
  <dc:description/>
  <cp:lastModifiedBy>user</cp:lastModifiedBy>
  <dcterms:created xsi:type="dcterms:W3CDTF">2018-05-03T15:00:37Z</dcterms:created>
  <dcterms:modified xsi:type="dcterms:W3CDTF">2023-02-10T17:50:23Z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0x0101005766810F3571A045AFE15E5668B16395</vt:lpwstr>
  </property>
</Properties>
</file>