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tabRatio="599" activeTab="2"/>
  </bookViews>
  <sheets>
    <sheet name="Lotes 6 e 12" sheetId="1" r:id="rId1"/>
    <sheet name="Lote 11" sheetId="10" r:id="rId2"/>
    <sheet name="Lote 13" sheetId="11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<sst xmlns="http://schemas.openxmlformats.org/spreadsheetml/2006/main" count="164" uniqueCount="69">
  <si>
    <t>MAPA COMPARATIVO DE PREÇOS</t>
  </si>
  <si>
    <r>
      <t>PROCESSO SEI:</t>
    </r>
    <r>
      <rPr>
        <sz val="10"/>
        <rFont val="Arial"/>
        <family val="2"/>
      </rPr>
      <t>19.16.3900.0113600/2022-16</t>
    </r>
  </si>
  <si>
    <r>
      <t xml:space="preserve">OBJETO: </t>
    </r>
    <r>
      <rPr>
        <sz val="10"/>
        <rFont val="Arial"/>
        <family val="2"/>
      </rPr>
      <t>Aquisição de ferramentas manuais e acessórios, para uso dos profissionais especializados da Divisão de Manutenção Predial, na execução dos serviços de reformas/adequações de instalações elétricas e civis dos imóveis ocupados por órgãos do Ministério Público de Minas Gerais.</t>
    </r>
  </si>
  <si>
    <t>VALOR ESTIMADO DOS LOTES 1, 6, 10 E 12:</t>
  </si>
  <si>
    <t>LOTES</t>
  </si>
  <si>
    <t>QTE.</t>
  </si>
  <si>
    <t>UNIDADE</t>
  </si>
  <si>
    <t>DESCRIÇÃO RESUMIDA DO ITEM</t>
  </si>
  <si>
    <t>CÓDIGO SIAD</t>
  </si>
  <si>
    <t xml:space="preserve"> PREÇOS PÚBLICOS</t>
  </si>
  <si>
    <t>ORÇAMENTO DE FORNECEDORES</t>
  </si>
  <si>
    <t>PREÇOS DA INTERNET</t>
  </si>
  <si>
    <t>PREÇO UNITÁRIO</t>
  </si>
  <si>
    <t>COEFICIENTE DE VARIAÇÃO</t>
  </si>
  <si>
    <t>PREÇO DE REFERÊNCIA (ITEM)</t>
  </si>
  <si>
    <t>DISPENSA DE LICITAÇÃO 55892/2022 - UFRGS</t>
  </si>
  <si>
    <t>PE 25/2022 - UNIVERSIDADE FEDERAL DE UBERLÂNDIA</t>
  </si>
  <si>
    <t>PE 25/2022 - SERVIÇO NACIONAL DE APRENDIZAGEM</t>
  </si>
  <si>
    <t>PE 1259968 50/2021 - POLÍCIA MILITAR DE MG</t>
  </si>
  <si>
    <t>COFERMETA AS (PORTE: DEMAIS)</t>
  </si>
  <si>
    <t>MINAS FERRAMENTAS LTDA (PORTE: DEMAIS)</t>
  </si>
  <si>
    <t>CMARCENEIRO.COM.BR</t>
  </si>
  <si>
    <t>LOJADOMECANICO.COM.BR</t>
  </si>
  <si>
    <t>MONFARDINIMADEIRAS.COM.BR</t>
  </si>
  <si>
    <t>MENOR</t>
  </si>
  <si>
    <t>MÉDIA</t>
  </si>
  <si>
    <t>MEDIANA</t>
  </si>
  <si>
    <t xml:space="preserve">UNITÁRIO </t>
  </si>
  <si>
    <t>TOTAL</t>
  </si>
  <si>
    <t>Unidade</t>
  </si>
  <si>
    <t>RISCADOR PARA FORMICA - MATERIA-PRIMA DO CORPO: ACO; MATERIA-PRIMA DO CABO: MADEIRA; PONTEIRA: DE VIDEA; COMPRIMENTO: 16,4CM;</t>
  </si>
  <si>
    <t>CHAVE AJUSTAVEL - TIPO: DE GRIFO; MATERIA-PRIMA: CABECA EM ACO ALTA RESISTENCIA, CORPO ACO CROMO; TAMANHO NOMINAL: 14 POLEGADAS; ABERTURA: 3,5 POLEGADAS; CABO: FERRO FUNDIDO NODULAR;</t>
  </si>
  <si>
    <t xml:space="preserve">CORTADOR DE VIDROS - MATERIA-PRIMA: ACO E CARBORETO DE TUNGSTENIO; COMPONENTE (1): COM SISTEMA DE AUTO LUBRIFICACAO DA RODA CORTADORA; COMPONENTE (2): RODA CORTADORA; TAMANHO: NAO APLICAVEL; </t>
  </si>
  <si>
    <t>ESQUADRO PARA ARTIFICE - MATERIA PRIMA: ACO, ACABAMENTO EM ZAMAK; FORMA DO ESQUADRO: EM L, CABO EM ALUMINIO RECATILHADO; ANGULOS: 90 GRAUS; MEDIDA: 8 POLEGADAS, CABO COM 5.1/2 POLEGADAS; Especificação Adicional do MPMG- LAMINA COM GRAVACAO EM BAIXO RELEVO, COM ESCALA EM MILIMETROS E EM POLEGADAS</t>
  </si>
  <si>
    <r>
      <t xml:space="preserve">OBSERVAÇÕES: 
(1.1) </t>
    </r>
    <r>
      <rPr>
        <sz val="8"/>
        <color rgb="FF000000"/>
        <rFont val="Arial"/>
        <family val="2"/>
      </rPr>
      <t xml:space="preserve">Os preços públicos que precedem aos 180 dias desta pesquisa de preços foram corrigidos pelo IPCA/IBGE. </t>
    </r>
    <r>
      <rPr>
        <b/>
        <sz val="8"/>
        <color rgb="FF000000"/>
        <rFont val="Arial"/>
        <family val="2"/>
      </rPr>
      <t xml:space="preserve">(1.2) </t>
    </r>
    <r>
      <rPr>
        <sz val="8"/>
        <color rgb="FF000000"/>
        <rFont val="Arial"/>
        <family val="2"/>
      </rPr>
      <t xml:space="preserve">Com o intuito de alcançar uma cesta de preços aceitável, foram utilizados preços públicos com o quantitativo o mais aproximado possível do pretendido pelo MPMG.
</t>
    </r>
    <r>
      <rPr>
        <b/>
        <sz val="8"/>
        <color rgb="FF000000"/>
        <rFont val="Arial"/>
        <family val="2"/>
      </rPr>
      <t xml:space="preserve">
(2.1) </t>
    </r>
    <r>
      <rPr>
        <sz val="8"/>
        <color rgb="FF000000"/>
        <rFont val="Arial"/>
        <family val="2"/>
      </rPr>
      <t xml:space="preserve">Para os sites que não calculam o frete de modo proporcional à quantidade requerida, o valor total cobrado de frete foi rateado entre as unidades pretendidas pelo MPMG, a fim de atingir preço unitário mais compatível com a realidade de mercado. </t>
    </r>
    <r>
      <rPr>
        <b/>
        <sz val="8"/>
        <color rgb="FF000000"/>
        <rFont val="Arial"/>
        <family val="2"/>
      </rPr>
      <t>(2.2)</t>
    </r>
    <r>
      <rPr>
        <sz val="8"/>
        <color rgb="FF000000"/>
        <rFont val="Arial"/>
        <family val="2"/>
      </rPr>
      <t xml:space="preserve"> Alguns dos preços da internet apresentam mais de uma opção de preço, variando (inclusive) no montante do frete. Nesse sentido, com o fito de adotar um padrão objetivo, foram considerados neste Mapa de Preços os fretes que apresentaram o menor dispêndio. 
</t>
    </r>
    <r>
      <rPr>
        <b/>
        <sz val="8"/>
        <color rgb="FF000000"/>
        <rFont val="Arial"/>
        <family val="2"/>
      </rPr>
      <t xml:space="preserve">
(3) </t>
    </r>
    <r>
      <rPr>
        <sz val="8"/>
        <color rgb="FF000000"/>
        <rFont val="Arial"/>
        <family val="2"/>
      </rPr>
      <t xml:space="preserve">Dos orçamentos entregues pelos fornecedores foram considerados apenas os valores unitários, ressalvando-se assim quaisquer equívocos no cálculo dos totalizadores.
</t>
    </r>
    <r>
      <rPr>
        <b/>
        <sz val="8"/>
        <color rgb="FF000000"/>
        <rFont val="Arial"/>
        <family val="2"/>
      </rPr>
      <t xml:space="preserve">(4) </t>
    </r>
    <r>
      <rPr>
        <sz val="8"/>
        <color rgb="FF000000"/>
        <rFont val="Arial"/>
        <family val="2"/>
      </rPr>
      <t>Aguarda-se orientação institucional (em tramitação no processo SEI 19.16.3719.0003818/2019-12), com fito de estabelecer o melhor critério objetivo para a definição do preço de referência. Isso posto, neste Mapa de Preços foi utilizado como parâmetros: a aplicação da média para os itens cujo coeficiente de variação é igual ou inferior a 25%, e da mediana apenas para os itens que porventura apresentem coeficiente de variação superior a 25%.</t>
    </r>
  </si>
  <si>
    <t xml:space="preserve">Responsável pelo Mapa de Preços: Eliana Dias Dutra Ferreira (MAMP: 5039-00). Responsável pela coleta de preços: Rafael Gonçalves de Lima (matrícula Plansul 127658). </t>
  </si>
  <si>
    <t>VALOR ESTIMADO DO LOTE:</t>
  </si>
  <si>
    <t>ITENS</t>
  </si>
  <si>
    <t>CENTROESTE ASSISTENCIA TECNICA E COMERCIO LTDA - FERRAMINAS (PORTE: ME)</t>
  </si>
  <si>
    <t>MARCENEIROEXPRESSO.COM.BR</t>
  </si>
  <si>
    <t>LICITAÇÃO 13/2021 - PARQUE REGIONAL DE MANUTENCAO/5</t>
  </si>
  <si>
    <t>PE 1451044 01/2022 - SECRETARIA DE ESTADO DE JUSTIÇA E SEG PÚBLICA</t>
  </si>
  <si>
    <t>CHAVE COMBINADA - BOCA X ESTRIA - MATERIA PRIMA: ACO; MEDIDA ENCAIXE: COM ENCAIXE DE 6MM; Especificação Adicional do MPMG- AÇO CROMO VANÁDIO OXIDADO</t>
  </si>
  <si>
    <t>CHAVE COMBINADA - BOCA X ESTRIA - MATERIA PRIMA: ACO; MEDIDA ENCAIXE: 8MM; Especificação Adicional do MPMG- AÇO CROMO VANÁDIO OXIDADO</t>
  </si>
  <si>
    <t>CHAVE COMBINADA - BOCA X ESTRIA - MATERIA PRIMA: ACO CROMO VANADIO NIQUELADO E CROMADO; MEDIDA ENCAIXE: COM ENCAIXE DE 10MM; Especificação Adicional do MPMG- AÇO CROMO VANÁDIO OXIDADO, NÃO PRECISA SER NIQUELADO E NEM CROMADO.</t>
  </si>
  <si>
    <t>CHAVE COMBINADA - BOCA X ESTRIA - MATERIA PRIMA: ACO CROMO VANADIO NIQUELADO E CROMADO; MEDIDA ENCAIXE: COM ENCAIXE DE 11MM; Especificação Adicional do MPMG- AÇO CROMO VANÁDIO OXIDADO, NÃO PRECISA SER NIQUELADO NEM CROMADO.</t>
  </si>
  <si>
    <t>CHAVE COMBINADA - BOCA X ESTRIA - MATERIA PRIMA: ACO CROMO VANADIO NIQUELADO E CROMADO; MEDIDA ENCAIXE: COM ENCAIXE DE 12MM;  Especificação Adicional do MPMG- AÇO CROMO VANÁDIO OXIDADO, NÃO PRECISA SER NIQUELADO NEM CROMADO.</t>
  </si>
  <si>
    <t>CHAVE COMBINADA - BOCA X ESTRIA - MATERIA PRIMA: ACO CROMO VANADIO; MEDIDA ENCAIXE: COM ENCAIXE DE 13MM;  Especificação Adicional do MPMG- AÇO CROMO VANÁDIO OXIDADO.</t>
  </si>
  <si>
    <t>CHAVE COMBINADA - BOCA X ESTRIA - MATERIA PRIMA: ACO CROMO VANADIO NIQUELADO E CROMADO; MEDIDA ENCAIXE: COM ENCAIXE DE 14MM;  Especificação Adicional do MPMG- AÇO CROMO VANÁDIO OXIDADO, NÃO PRECISA SER NIQUELADO NEM CROMADO.</t>
  </si>
  <si>
    <t>CHAVE COMBINADA - BOCA X ESTRIA - MATERIA PRIMA: ACO; MEDIDA ENCAIXE: 15MM;  -Especificação Adicional do MPMG- AÇO CROMO VANÁDIO OXIDADO.</t>
  </si>
  <si>
    <t>CHAVE COMBINADA - BOCA X ESTRIA - MATERIA PRIMA: ACO CROMO VANADIO; MEDIDA ENCAIXE: 17MM;  Especificação Adicional do MPMG- AÇO CROMO VANÁDIO OXIDADO</t>
  </si>
  <si>
    <t>CHAVE COMBINADA - BOCA X ESTRIA - MATERIA PRIMA: ACO CROMO VANADIO; MEDIDA ENCAIXE: COM ENCAIXE DE 19MM; Especificação adicional do MPMG- AÇO CROMO VANÁDIO OXIDADO.</t>
  </si>
  <si>
    <t>CHAVE COMBINADA - BOCA X ESTRIA - MATERIA PRIMA: ACO CROMO VANADIO; MEDIDA ENCAIXE: 1/4 POLEGADA;  Especificação Adicional do MPMG- AÇO CROMO VANÁDIO OXIDADO.</t>
  </si>
  <si>
    <t>CHAVE COMBINADA - BOCA X ESTRIA - MATERIA PRIMA: ACO CROMO VANADIO; MEDIDA ENCAIXE: COM ENCAIXE DE 5/16 POLEGADA;  Especificação adicional do MPMG- AÇO CROMO VANÁDIO OXIDADO.</t>
  </si>
  <si>
    <t>CHAVE COMBINADA - BOCA X ESTRIA - MATERIA PRIMA: ACO CROMO VANADIO; MEDIDA ENCAIXE: COM ENCAIXE DE 3/8 POLEGADAS;  Especificação Adicional do MPMG- AÇO CROMO VANÁDIO OXIDADO.</t>
  </si>
  <si>
    <t>CHAVE COMBINADA - BOCA X ESTRIA - MATERIA PRIMA: ACO CROMO VANADIO NIQUELADO; MEDIDA ENCAIXE: COM ENCAIXE DE 7/16 POLEGADAS;  Especificação Adicional do MPMG- AÇO CROMO VANÁDIO OXIDADO, NÃO PRECISA SER NIQUELADO.</t>
  </si>
  <si>
    <t>CHAVE COMBINADA - BOCA X ESTRIA - MATERIA PRIMA: ACO CROMO VANADIO; MEDIDA ENCAIXE: 1/2 POLEGADA;  Especificação Adicional do MPMG- AÇO CROMO VANÁDIO OXIDADO.</t>
  </si>
  <si>
    <t xml:space="preserve">CHAVE COMBINADA - BOCA X ESTRIA - MATERIA PRIMA: ACO CROMO VANADIO; MEDIDA ENCAIXE: COM ENCAIXE DE 9/16 POLEGADAS; Especificação Adicional do MPMG- AÇO CROMO VANÁDIO OXIDADO.  </t>
  </si>
  <si>
    <t>CHAVE COMBINADA - BOCA X ESTRIA - MATERIA PRIMA: ACO; MEDIDA ENCAIXE: COM ENCAIXE DE 5/8 POLEGADA;  Especificação Adicional do MPMG- AÇO CROMO VANÁDIO OXIDADO</t>
  </si>
  <si>
    <t>CHAVE COMBINADA - BOCA X ESTRIA - MATERIA PRIMA: ACO CROMO VANADIO; MEDIDA ENCAIXE: 11/16 POLEGADA;  Especificação Adicional do MPMG- AÇO CROMO VANÁDIO OXIDADO</t>
  </si>
  <si>
    <t>CHAVE COMBINADA - BOCA X ESTRIA - MATERIA PRIMA: ACO; MEDIDA ENCAIXE: COM ENCAIXE DE 3/4 POLEGADAS;  Especificação Adicional do MPMG- AÇO CROMO VANÁDIO OXIDADO.</t>
  </si>
  <si>
    <t>PREGÃO 01/2022 - MINISTÉRIO DA EDUCAÇÃO</t>
  </si>
  <si>
    <t>PREGÃO 143/2022 - PREFEITURA DO MUNICÍPIO DE LONDRINA</t>
  </si>
  <si>
    <t>PREGÃO 01/2022 - MINISTÉRIO DA DEFESA</t>
  </si>
  <si>
    <t>COPAFER.COM.BR</t>
  </si>
  <si>
    <t>GROSA - MATERIA PRIMA: ACO TEMPERADO; MEDIDAS: 8 POLEGADAS (200MM); TIPO: MEIA CANA; DENTEADO TIPO BASTARDO SIMPLES;   Complementação da Especificação: CABO INJETADO.</t>
  </si>
  <si>
    <t>GROSA - MATERIA PRIMA: ACO TEMPERADO; MEDIDAS: 10 POLEGADAS/250; TIPO: MEIA CANA; DENTEADO TIPO BASTARDO SIMPLES; Complementação da Especificação: CABO INJETADO.</t>
  </si>
  <si>
    <t>GROSA - MATERIA PRIMA: ACO TEMPERADO; MEDIDAS: 8 POLEGADAS; TIPO:: REDONDA;  Especificação Adicional do MPMG- 8 POLEGADAS (200MM); CABO INJETADO.</t>
  </si>
  <si>
    <t>GROSA - MATERIA PRIMA: ACO TEMPERADO; MEDIDAS: 10 POLEGADAS/250; TIPO: REDONDA; DENTEADO TIPO BASTARDO SIMPLES; Complementação da Especificação: CABO INJETADO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</si>
</sst>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rgb="FF000000"/>
      </right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/>
    <xf numFmtId="0" fontId="2" fillId="3" borderId="0" xfId="21" applyFill="1"/>
    <xf numFmtId="39" fontId="6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7" fillId="0" borderId="1" xfId="0" applyFont="1" applyBorder="1" applyAlignment="1" applyProtection="1">
      <alignment horizontal="center" vertical="center"/>
      <protection locked="0"/>
    </xf>
    <xf numFmtId="164" fontId="7" fillId="4" borderId="1" xfId="23" applyFont="1" applyFill="1" applyBorder="1" applyAlignment="1" applyProtection="1">
      <alignment vertical="center"/>
      <protection/>
    </xf>
    <xf numFmtId="164" fontId="7" fillId="0" borderId="1" xfId="23" applyFont="1" applyFill="1" applyBorder="1" applyAlignment="1" applyProtection="1">
      <alignment horizontal="right" vertical="center"/>
      <protection/>
    </xf>
    <xf numFmtId="164" fontId="7" fillId="0" borderId="1" xfId="23" applyFont="1" applyFill="1" applyBorder="1" applyAlignment="1" applyProtection="1">
      <alignment horizontal="center" vertical="center"/>
      <protection/>
    </xf>
    <xf numFmtId="164" fontId="7" fillId="0" borderId="1" xfId="23" applyFont="1" applyFill="1" applyBorder="1" applyAlignment="1" applyProtection="1">
      <alignment vertical="center"/>
      <protection/>
    </xf>
    <xf numFmtId="39" fontId="6" fillId="6" borderId="2" xfId="20" applyNumberFormat="1" applyFont="1" applyFill="1" applyBorder="1" applyAlignment="1" applyProtection="1">
      <alignment horizontal="center" vertical="center" wrapText="1"/>
      <protection locked="0"/>
    </xf>
    <xf numFmtId="39" fontId="6" fillId="6" borderId="3" xfId="20" applyNumberFormat="1" applyFont="1" applyFill="1" applyBorder="1" applyAlignment="1" applyProtection="1">
      <alignment horizontal="center" vertical="center" wrapText="1"/>
      <protection locked="0"/>
    </xf>
    <xf numFmtId="164" fontId="7" fillId="4" borderId="4" xfId="23" applyFont="1" applyFill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39" fontId="6" fillId="6" borderId="5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4" borderId="5" xfId="23" applyFont="1" applyFill="1" applyBorder="1" applyAlignment="1" applyProtection="1">
      <alignment vertical="center"/>
      <protection/>
    </xf>
    <xf numFmtId="10" fontId="7" fillId="4" borderId="4" xfId="22" applyNumberFormat="1" applyFont="1" applyFill="1" applyBorder="1" applyAlignment="1" applyProtection="1">
      <alignment horizontal="center" vertical="center"/>
      <protection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64" fontId="9" fillId="0" borderId="0" xfId="23" applyFont="1" applyAlignment="1">
      <alignment horizontal="left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0" fontId="6" fillId="6" borderId="22" xfId="0" applyFont="1" applyFill="1" applyBorder="1" applyAlignment="1" applyProtection="1">
      <alignment horizontal="center"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 wrapText="1"/>
      <protection locked="0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eutra" xfId="21"/>
    <cellStyle name="Porcentagem" xfId="22"/>
    <cellStyle name="Mo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2</xdr:col>
      <xdr:colOff>0</xdr:colOff>
      <xdr:row>0</xdr:row>
      <xdr:rowOff>809625</xdr:rowOff>
    </xdr:to>
    <xdr:sp macro="" textlink="">
      <xdr:nvSpPr>
        <xdr:cNvPr id="2" name="Freeform 4"/>
        <xdr:cNvSpPr>
          <a:spLocks noChangeArrowheads="1"/>
        </xdr:cNvSpPr>
      </xdr:nvSpPr>
      <xdr:spPr bwMode="auto">
        <a:xfrm>
          <a:off x="200025" y="66675"/>
          <a:ext cx="361950" cy="742950"/>
        </a:xfrm>
        <a:custGeom>
          <a:avLst/>
          <a:gdLst>
            <a:gd name="T0" fmla="*/ 0 w 817"/>
            <a:gd name="T1" fmla="*/ 2147483646 h 1175"/>
            <a:gd name="T2" fmla="*/ 2147483646 w 817"/>
            <a:gd name="T3" fmla="*/ 0 h 1175"/>
            <a:gd name="T4" fmla="*/ 2147483646 w 817"/>
            <a:gd name="T5" fmla="*/ 2147483646 h 1175"/>
            <a:gd name="T6" fmla="*/ 0 w 817"/>
            <a:gd name="T7" fmla="*/ 2147483646 h 1175"/>
            <a:gd name="T8" fmla="*/ 0 60000 65536"/>
            <a:gd name="T9" fmla="*/ 0 60000 65536"/>
            <a:gd name="T10" fmla="*/ 0 60000 65536"/>
            <a:gd name="T11" fmla="*/ 0 60000 65536"/>
            <a:gd name="T12" fmla="*/ 0 w 817"/>
            <a:gd name="T13" fmla="*/ 0 h 1175"/>
            <a:gd name="T14" fmla="*/ 817 w 817"/>
            <a:gd name="T15" fmla="*/ 1175 h 11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1175" w="817">
              <a:moveTo>
                <a:pt x="0" y="1175"/>
              </a:moveTo>
              <a:lnTo>
                <a:pt x="817" y="0"/>
              </a:lnTo>
              <a:lnTo>
                <a:pt x="817" y="1173"/>
              </a:lnTo>
              <a:lnTo>
                <a:pt x="0" y="1175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95250</xdr:rowOff>
    </xdr:from>
    <xdr:to>
      <xdr:col>4</xdr:col>
      <xdr:colOff>457200</xdr:colOff>
      <xdr:row>0</xdr:row>
      <xdr:rowOff>771525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914525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2</xdr:col>
      <xdr:colOff>0</xdr:colOff>
      <xdr:row>0</xdr:row>
      <xdr:rowOff>809625</xdr:rowOff>
    </xdr:to>
    <xdr:sp macro="" textlink="">
      <xdr:nvSpPr>
        <xdr:cNvPr id="2" name="Freeform 4"/>
        <xdr:cNvSpPr>
          <a:spLocks noChangeArrowheads="1"/>
        </xdr:cNvSpPr>
      </xdr:nvSpPr>
      <xdr:spPr bwMode="auto">
        <a:xfrm>
          <a:off x="200025" y="66675"/>
          <a:ext cx="361950" cy="742950"/>
        </a:xfrm>
        <a:custGeom>
          <a:avLst/>
          <a:gdLst>
            <a:gd name="T0" fmla="*/ 0 w 817"/>
            <a:gd name="T1" fmla="*/ 2147483646 h 1175"/>
            <a:gd name="T2" fmla="*/ 2147483646 w 817"/>
            <a:gd name="T3" fmla="*/ 0 h 1175"/>
            <a:gd name="T4" fmla="*/ 2147483646 w 817"/>
            <a:gd name="T5" fmla="*/ 2147483646 h 1175"/>
            <a:gd name="T6" fmla="*/ 0 w 817"/>
            <a:gd name="T7" fmla="*/ 2147483646 h 1175"/>
            <a:gd name="T8" fmla="*/ 0 60000 65536"/>
            <a:gd name="T9" fmla="*/ 0 60000 65536"/>
            <a:gd name="T10" fmla="*/ 0 60000 65536"/>
            <a:gd name="T11" fmla="*/ 0 60000 65536"/>
            <a:gd name="T12" fmla="*/ 0 w 817"/>
            <a:gd name="T13" fmla="*/ 0 h 1175"/>
            <a:gd name="T14" fmla="*/ 817 w 817"/>
            <a:gd name="T15" fmla="*/ 1175 h 11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1175" w="817">
              <a:moveTo>
                <a:pt x="0" y="1175"/>
              </a:moveTo>
              <a:lnTo>
                <a:pt x="817" y="0"/>
              </a:lnTo>
              <a:lnTo>
                <a:pt x="817" y="1173"/>
              </a:lnTo>
              <a:lnTo>
                <a:pt x="0" y="1175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95250</xdr:rowOff>
    </xdr:from>
    <xdr:to>
      <xdr:col>4</xdr:col>
      <xdr:colOff>457200</xdr:colOff>
      <xdr:row>0</xdr:row>
      <xdr:rowOff>771525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914525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2</xdr:col>
      <xdr:colOff>0</xdr:colOff>
      <xdr:row>0</xdr:row>
      <xdr:rowOff>809625</xdr:rowOff>
    </xdr:to>
    <xdr:sp macro="" textlink="">
      <xdr:nvSpPr>
        <xdr:cNvPr id="2" name="Freeform 4"/>
        <xdr:cNvSpPr>
          <a:spLocks noChangeArrowheads="1"/>
        </xdr:cNvSpPr>
      </xdr:nvSpPr>
      <xdr:spPr bwMode="auto">
        <a:xfrm>
          <a:off x="200025" y="66675"/>
          <a:ext cx="361950" cy="742950"/>
        </a:xfrm>
        <a:custGeom>
          <a:avLst/>
          <a:gdLst>
            <a:gd name="T0" fmla="*/ 0 w 817"/>
            <a:gd name="T1" fmla="*/ 2147483646 h 1175"/>
            <a:gd name="T2" fmla="*/ 2147483646 w 817"/>
            <a:gd name="T3" fmla="*/ 0 h 1175"/>
            <a:gd name="T4" fmla="*/ 2147483646 w 817"/>
            <a:gd name="T5" fmla="*/ 2147483646 h 1175"/>
            <a:gd name="T6" fmla="*/ 0 w 817"/>
            <a:gd name="T7" fmla="*/ 2147483646 h 1175"/>
            <a:gd name="T8" fmla="*/ 0 60000 65536"/>
            <a:gd name="T9" fmla="*/ 0 60000 65536"/>
            <a:gd name="T10" fmla="*/ 0 60000 65536"/>
            <a:gd name="T11" fmla="*/ 0 60000 65536"/>
            <a:gd name="T12" fmla="*/ 0 w 817"/>
            <a:gd name="T13" fmla="*/ 0 h 1175"/>
            <a:gd name="T14" fmla="*/ 817 w 817"/>
            <a:gd name="T15" fmla="*/ 1175 h 11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1175" w="817">
              <a:moveTo>
                <a:pt x="0" y="1175"/>
              </a:moveTo>
              <a:lnTo>
                <a:pt x="817" y="0"/>
              </a:lnTo>
              <a:lnTo>
                <a:pt x="817" y="1173"/>
              </a:lnTo>
              <a:lnTo>
                <a:pt x="0" y="1175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95250</xdr:rowOff>
    </xdr:from>
    <xdr:to>
      <xdr:col>4</xdr:col>
      <xdr:colOff>457200</xdr:colOff>
      <xdr:row>0</xdr:row>
      <xdr:rowOff>771525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91452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2"/>
  <sheetViews>
    <sheetView zoomScale="84" zoomScaleNormal="84" workbookViewId="0" topLeftCell="A1">
      <pane ySplit="9" topLeftCell="A10" activePane="bottomLeft" state="frozen"/>
      <selection pane="bottomLeft" activeCell="T8" sqref="T8:U9"/>
    </sheetView>
  </sheetViews>
  <sheetFormatPr defaultColWidth="9.140625" defaultRowHeight="15"/>
  <cols>
    <col min="1" max="1" width="1.8515625" style="1" customWidth="1"/>
    <col min="2" max="2" width="6.57421875" style="0" customWidth="1"/>
    <col min="3" max="3" width="5.7109375" style="0" customWidth="1"/>
    <col min="4" max="4" width="10.28125" style="0" customWidth="1"/>
    <col min="5" max="5" width="39.28125" style="0" customWidth="1"/>
    <col min="6" max="6" width="8.7109375" style="0" customWidth="1"/>
    <col min="7" max="9" width="18.7109375" style="0" hidden="1" customWidth="1"/>
    <col min="10" max="10" width="21.140625" style="0" hidden="1" customWidth="1"/>
    <col min="11" max="15" width="18.7109375" style="0" hidden="1" customWidth="1"/>
    <col min="16" max="18" width="10.140625" style="0" hidden="1" customWidth="1"/>
    <col min="19" max="19" width="14.00390625" style="0" hidden="1" customWidth="1"/>
    <col min="20" max="21" width="12.8515625" style="0" customWidth="1"/>
    <col min="22" max="16384" width="9.140625" style="1" customWidth="1"/>
  </cols>
  <sheetData>
    <row r="1" spans="2:21" ht="67.5" customHeight="1"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ht="15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ht="1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ht="1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2:21" ht="15" customHeight="1">
      <c r="B6" s="15" t="s">
        <v>3</v>
      </c>
      <c r="C6" s="5"/>
      <c r="D6" s="5"/>
      <c r="E6" s="5"/>
      <c r="F6" s="39">
        <f>SUM(U11:U14)</f>
        <v>2123.4166666666665</v>
      </c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1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1" ht="29.25" customHeight="1" thickTop="1">
      <c r="B8" s="40" t="s">
        <v>4</v>
      </c>
      <c r="C8" s="25" t="s">
        <v>5</v>
      </c>
      <c r="D8" s="25" t="s">
        <v>6</v>
      </c>
      <c r="E8" s="50" t="s">
        <v>7</v>
      </c>
      <c r="F8" s="25" t="s">
        <v>8</v>
      </c>
      <c r="G8" s="22" t="s">
        <v>9</v>
      </c>
      <c r="H8" s="23"/>
      <c r="I8" s="23"/>
      <c r="J8" s="24"/>
      <c r="K8" s="20" t="s">
        <v>10</v>
      </c>
      <c r="L8" s="21"/>
      <c r="M8" s="22" t="s">
        <v>11</v>
      </c>
      <c r="N8" s="23"/>
      <c r="O8" s="24"/>
      <c r="P8" s="43" t="s">
        <v>12</v>
      </c>
      <c r="Q8" s="43"/>
      <c r="R8" s="43"/>
      <c r="S8" s="43" t="s">
        <v>13</v>
      </c>
      <c r="T8" s="46" t="s">
        <v>14</v>
      </c>
      <c r="U8" s="47"/>
    </row>
    <row r="9" spans="2:21" ht="51.75" customHeight="1">
      <c r="B9" s="41"/>
      <c r="C9" s="26"/>
      <c r="D9" s="26"/>
      <c r="E9" s="51"/>
      <c r="F9" s="26"/>
      <c r="G9" s="3" t="s">
        <v>15</v>
      </c>
      <c r="H9" s="3" t="s">
        <v>16</v>
      </c>
      <c r="I9" s="3" t="s">
        <v>17</v>
      </c>
      <c r="J9" s="3" t="s">
        <v>18</v>
      </c>
      <c r="K9" s="3" t="s">
        <v>19</v>
      </c>
      <c r="L9" s="3" t="s">
        <v>20</v>
      </c>
      <c r="M9" s="3" t="s">
        <v>21</v>
      </c>
      <c r="N9" s="3" t="s">
        <v>22</v>
      </c>
      <c r="O9" s="3" t="s">
        <v>23</v>
      </c>
      <c r="P9" s="44"/>
      <c r="Q9" s="45"/>
      <c r="R9" s="45"/>
      <c r="S9" s="45"/>
      <c r="T9" s="48"/>
      <c r="U9" s="49"/>
    </row>
    <row r="10" spans="2:21" ht="22.5" customHeight="1">
      <c r="B10" s="42"/>
      <c r="C10" s="27"/>
      <c r="D10" s="27"/>
      <c r="E10" s="52"/>
      <c r="F10" s="27"/>
      <c r="G10" s="2" t="s">
        <v>12</v>
      </c>
      <c r="H10" s="2" t="s">
        <v>12</v>
      </c>
      <c r="I10" s="2" t="s">
        <v>12</v>
      </c>
      <c r="J10" s="2" t="s">
        <v>12</v>
      </c>
      <c r="K10" s="2" t="s">
        <v>12</v>
      </c>
      <c r="L10" s="2" t="s">
        <v>12</v>
      </c>
      <c r="M10" s="2" t="s">
        <v>12</v>
      </c>
      <c r="N10" s="2" t="s">
        <v>12</v>
      </c>
      <c r="O10" s="2" t="s">
        <v>12</v>
      </c>
      <c r="P10" s="11" t="s">
        <v>24</v>
      </c>
      <c r="Q10" s="11" t="s">
        <v>25</v>
      </c>
      <c r="R10" s="11" t="s">
        <v>26</v>
      </c>
      <c r="S10" s="45"/>
      <c r="T10" s="12" t="s">
        <v>27</v>
      </c>
      <c r="U10" s="16" t="s">
        <v>28</v>
      </c>
    </row>
    <row r="11" spans="2:21" ht="62.25" customHeight="1" hidden="1">
      <c r="B11" s="17">
        <v>1</v>
      </c>
      <c r="C11" s="6">
        <v>8</v>
      </c>
      <c r="D11" s="4" t="s">
        <v>29</v>
      </c>
      <c r="E11" s="14" t="s">
        <v>30</v>
      </c>
      <c r="F11" s="14">
        <v>1394789</v>
      </c>
      <c r="G11" s="8"/>
      <c r="H11" s="8"/>
      <c r="I11" s="8"/>
      <c r="J11" s="8"/>
      <c r="K11" s="9">
        <v>26.58</v>
      </c>
      <c r="L11" s="9">
        <v>27.22</v>
      </c>
      <c r="M11" s="9">
        <f>(22.36/C11)+33.33</f>
        <v>36.125</v>
      </c>
      <c r="N11" s="9"/>
      <c r="O11" s="9"/>
      <c r="P11" s="13">
        <f>MIN(G11:O11)</f>
        <v>26.58</v>
      </c>
      <c r="Q11" s="13">
        <f>AVERAGE(G11:O11)</f>
        <v>29.974999999999998</v>
      </c>
      <c r="R11" s="13">
        <f>MEDIAN(G11:O11)</f>
        <v>27.22</v>
      </c>
      <c r="S11" s="19">
        <f>STDEV(G11:O11)/AVERAGE(G11:O11)</f>
        <v>0.1780036927476693</v>
      </c>
      <c r="T11" s="7">
        <f>IF(S11&lt;25%,Q11,R11)</f>
        <v>29.974999999999998</v>
      </c>
      <c r="U11" s="18">
        <f>T11*C11</f>
        <v>239.79999999999998</v>
      </c>
    </row>
    <row r="12" spans="2:21" ht="62.25" customHeight="1">
      <c r="B12" s="17">
        <v>6</v>
      </c>
      <c r="C12" s="6">
        <v>3</v>
      </c>
      <c r="D12" s="4" t="s">
        <v>29</v>
      </c>
      <c r="E12" s="14" t="s">
        <v>31</v>
      </c>
      <c r="F12" s="14">
        <v>1467174</v>
      </c>
      <c r="G12" s="10">
        <v>76.2</v>
      </c>
      <c r="H12" s="8">
        <v>48.99</v>
      </c>
      <c r="I12" s="10"/>
      <c r="J12" s="10"/>
      <c r="K12" s="10">
        <v>170.44</v>
      </c>
      <c r="L12" s="10">
        <v>143.46</v>
      </c>
      <c r="M12" s="10"/>
      <c r="N12" s="10">
        <f>(13.66/C12)+117.67</f>
        <v>122.22333333333333</v>
      </c>
      <c r="O12" s="10"/>
      <c r="P12" s="13">
        <f aca="true" t="shared" si="0" ref="P12:P14">MIN(G12:O12)</f>
        <v>48.99</v>
      </c>
      <c r="Q12" s="13">
        <f aca="true" t="shared" si="1" ref="Q12:Q14">AVERAGE(G12:O12)</f>
        <v>112.26266666666668</v>
      </c>
      <c r="R12" s="13">
        <f aca="true" t="shared" si="2" ref="R12:R14">MEDIAN(G12:O12)</f>
        <v>122.22333333333333</v>
      </c>
      <c r="S12" s="19">
        <f aca="true" t="shared" si="3" ref="S12:S14">STDEV(G12:O12)/AVERAGE(G12:O12)</f>
        <v>0.44003034494462195</v>
      </c>
      <c r="T12" s="7">
        <f aca="true" t="shared" si="4" ref="T12:T14">IF(S12&lt;25%,Q12,R12)</f>
        <v>122.22333333333333</v>
      </c>
      <c r="U12" s="18">
        <f>T12*C12</f>
        <v>366.66999999999996</v>
      </c>
    </row>
    <row r="13" spans="2:21" ht="62.25" customHeight="1" hidden="1">
      <c r="B13" s="17">
        <v>10</v>
      </c>
      <c r="C13" s="6">
        <v>24</v>
      </c>
      <c r="D13" s="4" t="s">
        <v>29</v>
      </c>
      <c r="E13" s="14" t="s">
        <v>32</v>
      </c>
      <c r="F13" s="14">
        <v>708704</v>
      </c>
      <c r="G13" s="10"/>
      <c r="H13" s="8"/>
      <c r="I13" s="10">
        <v>37.83</v>
      </c>
      <c r="J13" s="10"/>
      <c r="K13" s="10">
        <v>65.93</v>
      </c>
      <c r="L13" s="10">
        <v>23.19</v>
      </c>
      <c r="M13" s="10"/>
      <c r="N13" s="10">
        <f>(12.36/C13)+33.22</f>
        <v>33.735</v>
      </c>
      <c r="O13" s="10"/>
      <c r="P13" s="13">
        <f t="shared" si="0"/>
        <v>23.19</v>
      </c>
      <c r="Q13" s="13">
        <f t="shared" si="1"/>
        <v>40.17125</v>
      </c>
      <c r="R13" s="13">
        <f t="shared" si="2"/>
        <v>35.7825</v>
      </c>
      <c r="S13" s="19">
        <f t="shared" si="3"/>
        <v>0.4542129982648045</v>
      </c>
      <c r="T13" s="7">
        <f t="shared" si="4"/>
        <v>35.7825</v>
      </c>
      <c r="U13" s="18">
        <f>T13*C13</f>
        <v>858.78</v>
      </c>
    </row>
    <row r="14" spans="2:21" ht="96" customHeight="1">
      <c r="B14" s="17">
        <v>12</v>
      </c>
      <c r="C14" s="6">
        <v>10</v>
      </c>
      <c r="D14" s="4" t="s">
        <v>29</v>
      </c>
      <c r="E14" s="14" t="s">
        <v>33</v>
      </c>
      <c r="F14" s="14">
        <v>761630</v>
      </c>
      <c r="G14" s="10"/>
      <c r="H14" s="8"/>
      <c r="I14" s="10"/>
      <c r="J14" s="10">
        <v>70.45</v>
      </c>
      <c r="K14" s="10"/>
      <c r="L14" s="10">
        <v>52.32</v>
      </c>
      <c r="M14" s="10"/>
      <c r="N14" s="10"/>
      <c r="O14" s="10">
        <f>(16.9/C14)+72.99</f>
        <v>74.67999999999999</v>
      </c>
      <c r="P14" s="13">
        <f t="shared" si="0"/>
        <v>52.32</v>
      </c>
      <c r="Q14" s="13">
        <f t="shared" si="1"/>
        <v>65.81666666666666</v>
      </c>
      <c r="R14" s="13">
        <f t="shared" si="2"/>
        <v>70.45</v>
      </c>
      <c r="S14" s="19">
        <f t="shared" si="3"/>
        <v>0.18047506614062836</v>
      </c>
      <c r="T14" s="7">
        <f t="shared" si="4"/>
        <v>65.81666666666666</v>
      </c>
      <c r="U14" s="18">
        <f>T14*C14</f>
        <v>658.1666666666666</v>
      </c>
    </row>
    <row r="15" spans="2:21" ht="15" hidden="1">
      <c r="B15" s="31" t="s">
        <v>34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3"/>
    </row>
    <row r="16" spans="2:21" ht="15" hidden="1">
      <c r="B16" s="3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  <row r="17" spans="2:21" ht="15" hidden="1">
      <c r="B17" s="3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</row>
    <row r="18" spans="2:21" ht="15" hidden="1">
      <c r="B18" s="3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  <row r="19" spans="2:21" ht="15" hidden="1">
      <c r="B19" s="3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</row>
    <row r="20" spans="2:21" ht="15" hidden="1">
      <c r="B20" s="3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</row>
    <row r="21" spans="2:21" ht="31.5" customHeight="1" hidden="1">
      <c r="B21" s="3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</row>
    <row r="22" spans="2:21" ht="15.75" hidden="1" thickBot="1">
      <c r="B22" s="28" t="s">
        <v>35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</row>
  </sheetData>
  <mergeCells count="19">
    <mergeCell ref="F6:G6"/>
    <mergeCell ref="B8:B10"/>
    <mergeCell ref="P8:R9"/>
    <mergeCell ref="T8:U9"/>
    <mergeCell ref="S8:S10"/>
    <mergeCell ref="D8:D10"/>
    <mergeCell ref="E8:E10"/>
    <mergeCell ref="F8:F10"/>
    <mergeCell ref="G8:J8"/>
    <mergeCell ref="B5:U5"/>
    <mergeCell ref="B1:U1"/>
    <mergeCell ref="B2:U2"/>
    <mergeCell ref="B3:U3"/>
    <mergeCell ref="B4:U4"/>
    <mergeCell ref="K8:L8"/>
    <mergeCell ref="M8:O8"/>
    <mergeCell ref="C8:C10"/>
    <mergeCell ref="B22:U22"/>
    <mergeCell ref="B15:U21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zoomScale="84" zoomScaleNormal="84" workbookViewId="0" topLeftCell="B1">
      <pane ySplit="9" topLeftCell="A25" activePane="bottomLeft" state="frozen"/>
      <selection pane="bottomLeft" activeCell="AD30" sqref="AD30"/>
    </sheetView>
  </sheetViews>
  <sheetFormatPr defaultColWidth="9.140625" defaultRowHeight="15"/>
  <cols>
    <col min="1" max="1" width="1.8515625" style="1" customWidth="1"/>
    <col min="2" max="2" width="6.57421875" style="0" customWidth="1"/>
    <col min="3" max="3" width="5.7109375" style="0" customWidth="1"/>
    <col min="4" max="4" width="10.28125" style="0" customWidth="1"/>
    <col min="5" max="5" width="54.7109375" style="0" customWidth="1"/>
    <col min="6" max="6" width="8.7109375" style="0" customWidth="1"/>
    <col min="7" max="13" width="18.7109375" style="0" hidden="1" customWidth="1"/>
    <col min="14" max="16" width="10.140625" style="0" hidden="1" customWidth="1"/>
    <col min="17" max="17" width="14.00390625" style="0" hidden="1" customWidth="1"/>
    <col min="18" max="19" width="12.8515625" style="0" customWidth="1"/>
    <col min="20" max="16384" width="9.140625" style="1" customWidth="1"/>
  </cols>
  <sheetData>
    <row r="1" spans="2:19" ht="67.5" customHeight="1"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5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1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1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2:19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19" ht="15" customHeight="1">
      <c r="B6" s="15" t="s">
        <v>36</v>
      </c>
      <c r="C6" s="5"/>
      <c r="D6" s="5"/>
      <c r="E6" s="5"/>
      <c r="F6" s="39">
        <f>SUM(S11:S29)</f>
        <v>2141.7415</v>
      </c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29.25" customHeight="1" thickTop="1">
      <c r="B8" s="40" t="s">
        <v>37</v>
      </c>
      <c r="C8" s="25" t="s">
        <v>5</v>
      </c>
      <c r="D8" s="25" t="s">
        <v>6</v>
      </c>
      <c r="E8" s="58" t="s">
        <v>7</v>
      </c>
      <c r="F8" s="25" t="s">
        <v>8</v>
      </c>
      <c r="G8" s="22" t="s">
        <v>9</v>
      </c>
      <c r="H8" s="23"/>
      <c r="I8" s="20" t="s">
        <v>10</v>
      </c>
      <c r="J8" s="61"/>
      <c r="K8" s="21"/>
      <c r="L8" s="22" t="s">
        <v>11</v>
      </c>
      <c r="M8" s="57"/>
      <c r="N8" s="43" t="s">
        <v>12</v>
      </c>
      <c r="O8" s="43"/>
      <c r="P8" s="43"/>
      <c r="Q8" s="43" t="s">
        <v>13</v>
      </c>
      <c r="R8" s="53" t="s">
        <v>14</v>
      </c>
      <c r="S8" s="54"/>
    </row>
    <row r="9" spans="2:19" ht="75" customHeight="1">
      <c r="B9" s="41"/>
      <c r="C9" s="26"/>
      <c r="D9" s="26"/>
      <c r="E9" s="59"/>
      <c r="F9" s="26"/>
      <c r="G9" s="3" t="s">
        <v>40</v>
      </c>
      <c r="H9" s="3" t="s">
        <v>41</v>
      </c>
      <c r="I9" s="3" t="s">
        <v>19</v>
      </c>
      <c r="J9" s="3" t="s">
        <v>38</v>
      </c>
      <c r="K9" s="3" t="s">
        <v>20</v>
      </c>
      <c r="L9" s="3" t="s">
        <v>39</v>
      </c>
      <c r="M9" s="3" t="s">
        <v>22</v>
      </c>
      <c r="N9" s="44"/>
      <c r="O9" s="45"/>
      <c r="P9" s="45"/>
      <c r="Q9" s="45"/>
      <c r="R9" s="55"/>
      <c r="S9" s="56"/>
    </row>
    <row r="10" spans="2:19" ht="22.5" customHeight="1">
      <c r="B10" s="42"/>
      <c r="C10" s="27"/>
      <c r="D10" s="27"/>
      <c r="E10" s="60"/>
      <c r="F10" s="27"/>
      <c r="G10" s="2" t="s">
        <v>12</v>
      </c>
      <c r="H10" s="2" t="s">
        <v>12</v>
      </c>
      <c r="I10" s="2" t="s">
        <v>12</v>
      </c>
      <c r="J10" s="2" t="s">
        <v>12</v>
      </c>
      <c r="K10" s="2" t="s">
        <v>12</v>
      </c>
      <c r="L10" s="2" t="s">
        <v>12</v>
      </c>
      <c r="M10" s="2" t="s">
        <v>12</v>
      </c>
      <c r="N10" s="11" t="s">
        <v>24</v>
      </c>
      <c r="O10" s="11" t="s">
        <v>25</v>
      </c>
      <c r="P10" s="11" t="s">
        <v>26</v>
      </c>
      <c r="Q10" s="45"/>
      <c r="R10" s="12" t="s">
        <v>27</v>
      </c>
      <c r="S10" s="16" t="s">
        <v>28</v>
      </c>
    </row>
    <row r="11" spans="2:19" ht="48.75" customHeight="1">
      <c r="B11" s="17">
        <v>1</v>
      </c>
      <c r="C11" s="6">
        <v>10</v>
      </c>
      <c r="D11" s="4" t="s">
        <v>29</v>
      </c>
      <c r="E11" s="14" t="s">
        <v>42</v>
      </c>
      <c r="F11" s="14">
        <v>329975</v>
      </c>
      <c r="G11" s="8"/>
      <c r="H11" s="8"/>
      <c r="I11" s="9">
        <v>11.81</v>
      </c>
      <c r="J11" s="9">
        <v>8.7</v>
      </c>
      <c r="K11" s="9">
        <v>5.99</v>
      </c>
      <c r="L11" s="9"/>
      <c r="M11" s="9">
        <f>22.11+(11.9/C11)</f>
        <v>23.3</v>
      </c>
      <c r="N11" s="13">
        <f aca="true" t="shared" si="0" ref="N11:N29">MIN(G11:M11)</f>
        <v>5.99</v>
      </c>
      <c r="O11" s="13">
        <f aca="true" t="shared" si="1" ref="O11:O29">AVERAGE(G11:M11)</f>
        <v>12.45</v>
      </c>
      <c r="P11" s="13">
        <f aca="true" t="shared" si="2" ref="P11:P29">MEDIAN(G11:M11)</f>
        <v>10.254999999999999</v>
      </c>
      <c r="Q11" s="19">
        <f aca="true" t="shared" si="3" ref="Q11:Q29">STDEV(G11:M11)/AVERAGE(G11:M11)</f>
        <v>0.6115789450160957</v>
      </c>
      <c r="R11" s="7">
        <f>IF(Q11&lt;25%,O11,P11)</f>
        <v>10.254999999999999</v>
      </c>
      <c r="S11" s="18">
        <f aca="true" t="shared" si="4" ref="S11:S29">R11*C11</f>
        <v>102.54999999999998</v>
      </c>
    </row>
    <row r="12" spans="2:19" ht="48.75" customHeight="1">
      <c r="B12" s="17">
        <v>2</v>
      </c>
      <c r="C12" s="6">
        <v>10</v>
      </c>
      <c r="D12" s="4" t="s">
        <v>29</v>
      </c>
      <c r="E12" s="14" t="s">
        <v>43</v>
      </c>
      <c r="F12" s="14">
        <v>330035</v>
      </c>
      <c r="G12" s="10"/>
      <c r="H12" s="8"/>
      <c r="I12" s="10">
        <v>12.13</v>
      </c>
      <c r="J12" s="10">
        <v>9.3</v>
      </c>
      <c r="K12" s="10">
        <v>6.05</v>
      </c>
      <c r="L12" s="10">
        <f>(18.09/C12)+13.9</f>
        <v>15.709</v>
      </c>
      <c r="M12" s="10">
        <f>(9.9/C12)+12.9</f>
        <v>13.89</v>
      </c>
      <c r="N12" s="13">
        <f t="shared" si="0"/>
        <v>6.05</v>
      </c>
      <c r="O12" s="13">
        <f t="shared" si="1"/>
        <v>11.4158</v>
      </c>
      <c r="P12" s="13">
        <f t="shared" si="2"/>
        <v>12.13</v>
      </c>
      <c r="Q12" s="19">
        <f t="shared" si="3"/>
        <v>0.3345153812277205</v>
      </c>
      <c r="R12" s="7">
        <f aca="true" t="shared" si="5" ref="R12:R29">IF(Q12&lt;25%,O12,P12)</f>
        <v>12.13</v>
      </c>
      <c r="S12" s="18">
        <f t="shared" si="4"/>
        <v>121.30000000000001</v>
      </c>
    </row>
    <row r="13" spans="2:19" ht="48.75" customHeight="1">
      <c r="B13" s="17">
        <v>3</v>
      </c>
      <c r="C13" s="6">
        <v>30</v>
      </c>
      <c r="D13" s="4" t="s">
        <v>29</v>
      </c>
      <c r="E13" s="14" t="s">
        <v>44</v>
      </c>
      <c r="F13" s="14">
        <v>820717</v>
      </c>
      <c r="G13" s="10"/>
      <c r="H13" s="8"/>
      <c r="I13" s="10">
        <v>12.8</v>
      </c>
      <c r="J13" s="10">
        <v>10.7</v>
      </c>
      <c r="K13" s="10">
        <v>7.84</v>
      </c>
      <c r="L13" s="10"/>
      <c r="M13" s="10">
        <f>(9.9/C13)+8.78</f>
        <v>9.11</v>
      </c>
      <c r="N13" s="13">
        <f t="shared" si="0"/>
        <v>7.84</v>
      </c>
      <c r="O13" s="13">
        <f t="shared" si="1"/>
        <v>10.1125</v>
      </c>
      <c r="P13" s="13">
        <f t="shared" si="2"/>
        <v>9.905</v>
      </c>
      <c r="Q13" s="19">
        <f t="shared" si="3"/>
        <v>0.21160599752665818</v>
      </c>
      <c r="R13" s="7">
        <f t="shared" si="5"/>
        <v>10.1125</v>
      </c>
      <c r="S13" s="18">
        <f t="shared" si="4"/>
        <v>303.375</v>
      </c>
    </row>
    <row r="14" spans="2:19" ht="48.75" customHeight="1">
      <c r="B14" s="17">
        <v>4</v>
      </c>
      <c r="C14" s="6">
        <v>30</v>
      </c>
      <c r="D14" s="4" t="s">
        <v>29</v>
      </c>
      <c r="E14" s="14" t="s">
        <v>45</v>
      </c>
      <c r="F14" s="14">
        <v>820725</v>
      </c>
      <c r="G14" s="10"/>
      <c r="H14" s="8"/>
      <c r="I14" s="10">
        <v>13.83</v>
      </c>
      <c r="J14" s="10">
        <v>11.45</v>
      </c>
      <c r="K14" s="10">
        <v>6.96</v>
      </c>
      <c r="L14" s="10"/>
      <c r="M14" s="10">
        <f>(9.9/C14)+7.67</f>
        <v>8</v>
      </c>
      <c r="N14" s="13">
        <f t="shared" si="0"/>
        <v>6.96</v>
      </c>
      <c r="O14" s="13">
        <f t="shared" si="1"/>
        <v>10.06</v>
      </c>
      <c r="P14" s="13">
        <f t="shared" si="2"/>
        <v>9.725</v>
      </c>
      <c r="Q14" s="19">
        <f t="shared" si="3"/>
        <v>0.3143343809968963</v>
      </c>
      <c r="R14" s="7">
        <f t="shared" si="5"/>
        <v>9.725</v>
      </c>
      <c r="S14" s="18">
        <f t="shared" si="4"/>
        <v>291.75</v>
      </c>
    </row>
    <row r="15" spans="2:19" ht="48.75" customHeight="1">
      <c r="B15" s="17">
        <v>5</v>
      </c>
      <c r="C15" s="6">
        <v>25</v>
      </c>
      <c r="D15" s="4" t="s">
        <v>29</v>
      </c>
      <c r="E15" s="14" t="s">
        <v>46</v>
      </c>
      <c r="F15" s="14">
        <v>820733</v>
      </c>
      <c r="G15" s="10"/>
      <c r="H15" s="8">
        <v>11</v>
      </c>
      <c r="I15" s="10">
        <v>14.36</v>
      </c>
      <c r="J15" s="10">
        <v>11.9</v>
      </c>
      <c r="K15" s="10">
        <v>7.62</v>
      </c>
      <c r="L15" s="10"/>
      <c r="M15" s="10">
        <f>(9.9/C15)+8.78</f>
        <v>9.176</v>
      </c>
      <c r="N15" s="13">
        <f t="shared" si="0"/>
        <v>7.62</v>
      </c>
      <c r="O15" s="13">
        <f t="shared" si="1"/>
        <v>10.8112</v>
      </c>
      <c r="P15" s="13">
        <f t="shared" si="2"/>
        <v>11</v>
      </c>
      <c r="Q15" s="19">
        <f t="shared" si="3"/>
        <v>0.23885260939561384</v>
      </c>
      <c r="R15" s="7">
        <f t="shared" si="5"/>
        <v>10.8112</v>
      </c>
      <c r="S15" s="18">
        <f t="shared" si="4"/>
        <v>270.28</v>
      </c>
    </row>
    <row r="16" spans="2:19" ht="48.75" customHeight="1">
      <c r="B16" s="17">
        <v>6</v>
      </c>
      <c r="C16" s="6">
        <v>25</v>
      </c>
      <c r="D16" s="4" t="s">
        <v>29</v>
      </c>
      <c r="E16" s="14" t="s">
        <v>47</v>
      </c>
      <c r="F16" s="14">
        <v>1082426</v>
      </c>
      <c r="G16" s="10"/>
      <c r="H16" s="8"/>
      <c r="I16" s="10">
        <v>15.11</v>
      </c>
      <c r="J16" s="10">
        <v>13.45</v>
      </c>
      <c r="K16" s="10">
        <v>8.38</v>
      </c>
      <c r="L16" s="10"/>
      <c r="M16" s="10">
        <f>(9.9/C16)+11</f>
        <v>11.396</v>
      </c>
      <c r="N16" s="13">
        <f t="shared" si="0"/>
        <v>8.38</v>
      </c>
      <c r="O16" s="13">
        <f t="shared" si="1"/>
        <v>12.084</v>
      </c>
      <c r="P16" s="13">
        <f t="shared" si="2"/>
        <v>12.423</v>
      </c>
      <c r="Q16" s="19">
        <f t="shared" si="3"/>
        <v>0.2399182254031742</v>
      </c>
      <c r="R16" s="7">
        <f t="shared" si="5"/>
        <v>12.084</v>
      </c>
      <c r="S16" s="18">
        <f t="shared" si="4"/>
        <v>302.09999999999997</v>
      </c>
    </row>
    <row r="17" spans="2:19" ht="48.75" customHeight="1">
      <c r="B17" s="17">
        <v>7</v>
      </c>
      <c r="C17" s="6">
        <v>25</v>
      </c>
      <c r="D17" s="4" t="s">
        <v>29</v>
      </c>
      <c r="E17" s="14" t="s">
        <v>48</v>
      </c>
      <c r="F17" s="14">
        <v>819450</v>
      </c>
      <c r="G17" s="10"/>
      <c r="H17" s="8"/>
      <c r="I17" s="10">
        <v>15.96</v>
      </c>
      <c r="J17" s="10">
        <v>14</v>
      </c>
      <c r="K17" s="10">
        <v>10.31</v>
      </c>
      <c r="L17" s="10"/>
      <c r="M17" s="10">
        <f>(23.24/C17)+11.38</f>
        <v>12.309600000000001</v>
      </c>
      <c r="N17" s="13">
        <f t="shared" si="0"/>
        <v>10.31</v>
      </c>
      <c r="O17" s="13">
        <f t="shared" si="1"/>
        <v>13.144900000000002</v>
      </c>
      <c r="P17" s="13">
        <f t="shared" si="2"/>
        <v>13.154800000000002</v>
      </c>
      <c r="Q17" s="19">
        <f t="shared" si="3"/>
        <v>0.18316246250686388</v>
      </c>
      <c r="R17" s="7">
        <f t="shared" si="5"/>
        <v>13.144900000000002</v>
      </c>
      <c r="S17" s="18">
        <f t="shared" si="4"/>
        <v>328.62250000000006</v>
      </c>
    </row>
    <row r="18" spans="2:19" ht="48.75" customHeight="1">
      <c r="B18" s="17">
        <v>8</v>
      </c>
      <c r="C18" s="6">
        <v>3</v>
      </c>
      <c r="D18" s="4" t="s">
        <v>29</v>
      </c>
      <c r="E18" s="14" t="s">
        <v>49</v>
      </c>
      <c r="F18" s="14">
        <v>329665</v>
      </c>
      <c r="G18" s="10"/>
      <c r="H18" s="8">
        <v>12</v>
      </c>
      <c r="I18" s="10">
        <v>17.69</v>
      </c>
      <c r="J18" s="10">
        <v>14.25</v>
      </c>
      <c r="K18" s="10">
        <v>11.61</v>
      </c>
      <c r="L18" s="10"/>
      <c r="M18" s="10">
        <f>(9.9/C18)+13.22</f>
        <v>16.52</v>
      </c>
      <c r="N18" s="13">
        <f t="shared" si="0"/>
        <v>11.61</v>
      </c>
      <c r="O18" s="13">
        <f t="shared" si="1"/>
        <v>14.413999999999998</v>
      </c>
      <c r="P18" s="13">
        <f t="shared" si="2"/>
        <v>14.25</v>
      </c>
      <c r="Q18" s="19">
        <f t="shared" si="3"/>
        <v>0.1864296812007495</v>
      </c>
      <c r="R18" s="7">
        <f t="shared" si="5"/>
        <v>14.413999999999998</v>
      </c>
      <c r="S18" s="18">
        <f t="shared" si="4"/>
        <v>43.24199999999999</v>
      </c>
    </row>
    <row r="19" spans="2:19" ht="48.75" customHeight="1">
      <c r="B19" s="17">
        <v>9</v>
      </c>
      <c r="C19" s="6">
        <v>3</v>
      </c>
      <c r="D19" s="4" t="s">
        <v>29</v>
      </c>
      <c r="E19" s="14" t="s">
        <v>50</v>
      </c>
      <c r="F19" s="14">
        <v>329452</v>
      </c>
      <c r="G19" s="10"/>
      <c r="H19" s="8"/>
      <c r="I19" s="10">
        <v>21.93</v>
      </c>
      <c r="J19" s="10">
        <v>17.5</v>
      </c>
      <c r="K19" s="10">
        <v>12.63</v>
      </c>
      <c r="L19" s="10"/>
      <c r="M19" s="10">
        <f>(11.13/C19)+14.33</f>
        <v>18.04</v>
      </c>
      <c r="N19" s="13">
        <f t="shared" si="0"/>
        <v>12.63</v>
      </c>
      <c r="O19" s="13">
        <f t="shared" si="1"/>
        <v>17.525</v>
      </c>
      <c r="P19" s="13">
        <f t="shared" si="2"/>
        <v>17.77</v>
      </c>
      <c r="Q19" s="19">
        <f t="shared" si="3"/>
        <v>0.21760979096061336</v>
      </c>
      <c r="R19" s="7">
        <f t="shared" si="5"/>
        <v>17.525</v>
      </c>
      <c r="S19" s="18">
        <f t="shared" si="4"/>
        <v>52.574999999999996</v>
      </c>
    </row>
    <row r="20" spans="2:19" ht="48.75" customHeight="1">
      <c r="B20" s="17">
        <v>10</v>
      </c>
      <c r="C20" s="6">
        <v>3</v>
      </c>
      <c r="D20" s="4" t="s">
        <v>29</v>
      </c>
      <c r="E20" s="14" t="s">
        <v>51</v>
      </c>
      <c r="F20" s="14">
        <v>329460</v>
      </c>
      <c r="G20" s="10"/>
      <c r="H20" s="8"/>
      <c r="I20" s="10">
        <v>24.34</v>
      </c>
      <c r="J20" s="10">
        <v>18.75</v>
      </c>
      <c r="K20" s="10">
        <v>18.1</v>
      </c>
      <c r="L20" s="10"/>
      <c r="M20" s="10">
        <f>(11.17/C20)+19.89</f>
        <v>23.613333333333333</v>
      </c>
      <c r="N20" s="13">
        <f t="shared" si="0"/>
        <v>18.1</v>
      </c>
      <c r="O20" s="13">
        <f t="shared" si="1"/>
        <v>21.200833333333335</v>
      </c>
      <c r="P20" s="13">
        <f t="shared" si="2"/>
        <v>21.181666666666665</v>
      </c>
      <c r="Q20" s="19">
        <f t="shared" si="3"/>
        <v>0.1523465996734655</v>
      </c>
      <c r="R20" s="7">
        <f t="shared" si="5"/>
        <v>21.200833333333335</v>
      </c>
      <c r="S20" s="18">
        <f t="shared" si="4"/>
        <v>63.602500000000006</v>
      </c>
    </row>
    <row r="21" spans="2:19" ht="48.75" customHeight="1">
      <c r="B21" s="17">
        <v>11</v>
      </c>
      <c r="C21" s="6">
        <v>2</v>
      </c>
      <c r="D21" s="4" t="s">
        <v>29</v>
      </c>
      <c r="E21" s="14" t="s">
        <v>52</v>
      </c>
      <c r="F21" s="14">
        <v>329320</v>
      </c>
      <c r="G21" s="10"/>
      <c r="H21" s="8"/>
      <c r="I21" s="10">
        <v>11.81</v>
      </c>
      <c r="J21" s="10">
        <v>8.1</v>
      </c>
      <c r="K21" s="10">
        <v>8.25</v>
      </c>
      <c r="L21" s="10"/>
      <c r="M21" s="10">
        <f>(11.13/C21)+15.44</f>
        <v>21.005</v>
      </c>
      <c r="N21" s="13">
        <f t="shared" si="0"/>
        <v>8.1</v>
      </c>
      <c r="O21" s="13">
        <f t="shared" si="1"/>
        <v>12.29125</v>
      </c>
      <c r="P21" s="13">
        <f t="shared" si="2"/>
        <v>10.030000000000001</v>
      </c>
      <c r="Q21" s="19">
        <f t="shared" si="3"/>
        <v>0.49278414994411174</v>
      </c>
      <c r="R21" s="7">
        <f t="shared" si="5"/>
        <v>10.030000000000001</v>
      </c>
      <c r="S21" s="18">
        <f t="shared" si="4"/>
        <v>20.060000000000002</v>
      </c>
    </row>
    <row r="22" spans="2:19" ht="48.75" customHeight="1">
      <c r="B22" s="17">
        <v>12</v>
      </c>
      <c r="C22" s="6">
        <v>2</v>
      </c>
      <c r="D22" s="4" t="s">
        <v>29</v>
      </c>
      <c r="E22" s="14" t="s">
        <v>53</v>
      </c>
      <c r="F22" s="14">
        <v>823538</v>
      </c>
      <c r="G22" s="10"/>
      <c r="H22" s="8"/>
      <c r="I22" s="10">
        <v>12.14</v>
      </c>
      <c r="J22" s="10">
        <v>9</v>
      </c>
      <c r="K22" s="10">
        <v>8.61</v>
      </c>
      <c r="L22" s="10"/>
      <c r="M22" s="10">
        <f>(11.57/C22)+29.89</f>
        <v>35.675</v>
      </c>
      <c r="N22" s="13">
        <f t="shared" si="0"/>
        <v>8.61</v>
      </c>
      <c r="O22" s="13">
        <f t="shared" si="1"/>
        <v>16.35625</v>
      </c>
      <c r="P22" s="13">
        <f t="shared" si="2"/>
        <v>10.57</v>
      </c>
      <c r="Q22" s="19">
        <f t="shared" si="3"/>
        <v>0.7933201285084924</v>
      </c>
      <c r="R22" s="7">
        <f t="shared" si="5"/>
        <v>10.57</v>
      </c>
      <c r="S22" s="18">
        <f t="shared" si="4"/>
        <v>21.14</v>
      </c>
    </row>
    <row r="23" spans="2:19" ht="48.75" customHeight="1">
      <c r="B23" s="17">
        <v>13</v>
      </c>
      <c r="C23" s="6">
        <v>2</v>
      </c>
      <c r="D23" s="4" t="s">
        <v>29</v>
      </c>
      <c r="E23" s="14" t="s">
        <v>54</v>
      </c>
      <c r="F23" s="14">
        <v>329355</v>
      </c>
      <c r="G23" s="10"/>
      <c r="H23" s="8"/>
      <c r="I23" s="10">
        <v>12.8</v>
      </c>
      <c r="J23" s="10">
        <v>10.7</v>
      </c>
      <c r="K23" s="10">
        <v>9.21</v>
      </c>
      <c r="L23" s="10"/>
      <c r="M23" s="10">
        <f>(9.9/C23)+12.11</f>
        <v>17.06</v>
      </c>
      <c r="N23" s="13">
        <f t="shared" si="0"/>
        <v>9.21</v>
      </c>
      <c r="O23" s="13">
        <f t="shared" si="1"/>
        <v>12.442499999999999</v>
      </c>
      <c r="P23" s="13">
        <f t="shared" si="2"/>
        <v>11.75</v>
      </c>
      <c r="Q23" s="19">
        <f t="shared" si="3"/>
        <v>0.2742577026205602</v>
      </c>
      <c r="R23" s="7">
        <f t="shared" si="5"/>
        <v>11.75</v>
      </c>
      <c r="S23" s="18">
        <f t="shared" si="4"/>
        <v>23.5</v>
      </c>
    </row>
    <row r="24" spans="2:19" ht="48.75" customHeight="1">
      <c r="B24" s="17">
        <v>14</v>
      </c>
      <c r="C24" s="6">
        <v>2</v>
      </c>
      <c r="D24" s="4" t="s">
        <v>29</v>
      </c>
      <c r="E24" s="14" t="s">
        <v>55</v>
      </c>
      <c r="F24" s="14">
        <v>823465</v>
      </c>
      <c r="G24" s="10"/>
      <c r="H24" s="8"/>
      <c r="I24" s="10">
        <v>13.83</v>
      </c>
      <c r="J24" s="10">
        <v>10.7</v>
      </c>
      <c r="K24" s="10"/>
      <c r="L24" s="10"/>
      <c r="M24" s="10">
        <f>(9.9/C24)+22.11</f>
        <v>27.06</v>
      </c>
      <c r="N24" s="13">
        <f t="shared" si="0"/>
        <v>10.7</v>
      </c>
      <c r="O24" s="13">
        <f t="shared" si="1"/>
        <v>17.19666666666667</v>
      </c>
      <c r="P24" s="13">
        <f t="shared" si="2"/>
        <v>13.83</v>
      </c>
      <c r="Q24" s="19">
        <f t="shared" si="3"/>
        <v>0.5049861970868669</v>
      </c>
      <c r="R24" s="7">
        <f t="shared" si="5"/>
        <v>13.83</v>
      </c>
      <c r="S24" s="18">
        <f t="shared" si="4"/>
        <v>27.66</v>
      </c>
    </row>
    <row r="25" spans="2:19" ht="48.75" customHeight="1">
      <c r="B25" s="17">
        <v>15</v>
      </c>
      <c r="C25" s="6">
        <v>2</v>
      </c>
      <c r="D25" s="4" t="s">
        <v>29</v>
      </c>
      <c r="E25" s="14" t="s">
        <v>56</v>
      </c>
      <c r="F25" s="14">
        <v>329371</v>
      </c>
      <c r="G25" s="10">
        <v>11</v>
      </c>
      <c r="H25" s="8"/>
      <c r="I25" s="10">
        <v>15.11</v>
      </c>
      <c r="J25" s="10">
        <v>12.4</v>
      </c>
      <c r="K25" s="10">
        <v>10.9</v>
      </c>
      <c r="L25" s="10"/>
      <c r="M25" s="10">
        <f>(9.9/C25)+14.33</f>
        <v>19.28</v>
      </c>
      <c r="N25" s="13">
        <f t="shared" si="0"/>
        <v>10.9</v>
      </c>
      <c r="O25" s="13">
        <f t="shared" si="1"/>
        <v>13.738</v>
      </c>
      <c r="P25" s="13">
        <f t="shared" si="2"/>
        <v>12.4</v>
      </c>
      <c r="Q25" s="19">
        <f t="shared" si="3"/>
        <v>0.25719287547143366</v>
      </c>
      <c r="R25" s="7">
        <f t="shared" si="5"/>
        <v>12.4</v>
      </c>
      <c r="S25" s="18">
        <f t="shared" si="4"/>
        <v>24.8</v>
      </c>
    </row>
    <row r="26" spans="2:19" ht="48.75" customHeight="1">
      <c r="B26" s="17">
        <v>16</v>
      </c>
      <c r="C26" s="6">
        <v>2</v>
      </c>
      <c r="D26" s="4" t="s">
        <v>29</v>
      </c>
      <c r="E26" s="14" t="s">
        <v>57</v>
      </c>
      <c r="F26" s="14">
        <v>329550</v>
      </c>
      <c r="G26" s="10">
        <v>13</v>
      </c>
      <c r="H26" s="8"/>
      <c r="I26" s="10">
        <v>15.96</v>
      </c>
      <c r="J26" s="10">
        <v>15.7</v>
      </c>
      <c r="K26" s="10">
        <v>11.56</v>
      </c>
      <c r="L26" s="10"/>
      <c r="M26" s="10">
        <f>(24.41/C26)+15.9</f>
        <v>28.105</v>
      </c>
      <c r="N26" s="13">
        <f t="shared" si="0"/>
        <v>11.56</v>
      </c>
      <c r="O26" s="13">
        <f t="shared" si="1"/>
        <v>16.865000000000002</v>
      </c>
      <c r="P26" s="13">
        <f t="shared" si="2"/>
        <v>15.7</v>
      </c>
      <c r="Q26" s="19">
        <f t="shared" si="3"/>
        <v>0.38836143745523344</v>
      </c>
      <c r="R26" s="7">
        <f t="shared" si="5"/>
        <v>15.7</v>
      </c>
      <c r="S26" s="18">
        <f t="shared" si="4"/>
        <v>31.4</v>
      </c>
    </row>
    <row r="27" spans="2:19" ht="48.75" customHeight="1">
      <c r="B27" s="17">
        <v>17</v>
      </c>
      <c r="C27" s="6">
        <v>2</v>
      </c>
      <c r="D27" s="4" t="s">
        <v>29</v>
      </c>
      <c r="E27" s="14" t="s">
        <v>58</v>
      </c>
      <c r="F27" s="14">
        <v>329967</v>
      </c>
      <c r="G27" s="10"/>
      <c r="H27" s="8"/>
      <c r="I27" s="10">
        <v>18.74</v>
      </c>
      <c r="J27" s="10">
        <v>15.5</v>
      </c>
      <c r="K27" s="10">
        <v>13.98</v>
      </c>
      <c r="L27" s="10"/>
      <c r="M27" s="10">
        <f>(11.15/C27)+17.67</f>
        <v>23.245</v>
      </c>
      <c r="N27" s="13">
        <f t="shared" si="0"/>
        <v>13.98</v>
      </c>
      <c r="O27" s="13">
        <f t="shared" si="1"/>
        <v>17.86625</v>
      </c>
      <c r="P27" s="13">
        <f t="shared" si="2"/>
        <v>17.119999999999997</v>
      </c>
      <c r="Q27" s="19">
        <f t="shared" si="3"/>
        <v>0.22940665861077453</v>
      </c>
      <c r="R27" s="7">
        <f t="shared" si="5"/>
        <v>17.86625</v>
      </c>
      <c r="S27" s="18">
        <f t="shared" si="4"/>
        <v>35.7325</v>
      </c>
    </row>
    <row r="28" spans="2:19" ht="48.75" customHeight="1">
      <c r="B28" s="17">
        <v>18</v>
      </c>
      <c r="C28" s="6">
        <v>2</v>
      </c>
      <c r="D28" s="4" t="s">
        <v>29</v>
      </c>
      <c r="E28" s="14" t="s">
        <v>59</v>
      </c>
      <c r="F28" s="14">
        <v>329401</v>
      </c>
      <c r="G28" s="10"/>
      <c r="H28" s="8"/>
      <c r="I28" s="10">
        <v>21.93</v>
      </c>
      <c r="J28" s="10">
        <v>14.5</v>
      </c>
      <c r="K28" s="10">
        <v>15.08</v>
      </c>
      <c r="L28" s="10"/>
      <c r="M28" s="10">
        <f>(9.9/C28)+28.78</f>
        <v>33.730000000000004</v>
      </c>
      <c r="N28" s="13">
        <f t="shared" si="0"/>
        <v>14.5</v>
      </c>
      <c r="O28" s="13">
        <f t="shared" si="1"/>
        <v>21.310000000000002</v>
      </c>
      <c r="P28" s="13">
        <f t="shared" si="2"/>
        <v>18.505</v>
      </c>
      <c r="Q28" s="19">
        <f t="shared" si="3"/>
        <v>0.4195729637622198</v>
      </c>
      <c r="R28" s="7">
        <f t="shared" si="5"/>
        <v>18.505</v>
      </c>
      <c r="S28" s="18">
        <f t="shared" si="4"/>
        <v>37.01</v>
      </c>
    </row>
    <row r="29" spans="2:19" ht="48.75" customHeight="1">
      <c r="B29" s="17">
        <v>19</v>
      </c>
      <c r="C29" s="6">
        <v>2</v>
      </c>
      <c r="D29" s="4" t="s">
        <v>29</v>
      </c>
      <c r="E29" s="14" t="s">
        <v>60</v>
      </c>
      <c r="F29" s="14">
        <v>329908</v>
      </c>
      <c r="G29" s="10">
        <v>17</v>
      </c>
      <c r="H29" s="8"/>
      <c r="I29" s="10">
        <v>24.34</v>
      </c>
      <c r="J29" s="10">
        <v>19</v>
      </c>
      <c r="K29" s="10">
        <v>16.79</v>
      </c>
      <c r="L29" s="10"/>
      <c r="M29" s="10">
        <f>(11.17/C29)+19.89</f>
        <v>25.475</v>
      </c>
      <c r="N29" s="13">
        <f t="shared" si="0"/>
        <v>16.79</v>
      </c>
      <c r="O29" s="13">
        <f t="shared" si="1"/>
        <v>20.520999999999997</v>
      </c>
      <c r="P29" s="13">
        <f t="shared" si="2"/>
        <v>19</v>
      </c>
      <c r="Q29" s="19">
        <f t="shared" si="3"/>
        <v>0.20056361913822152</v>
      </c>
      <c r="R29" s="7">
        <f t="shared" si="5"/>
        <v>20.520999999999997</v>
      </c>
      <c r="S29" s="18">
        <f t="shared" si="4"/>
        <v>41.041999999999994</v>
      </c>
    </row>
    <row r="30" ht="15">
      <c r="D30">
        <v>1.11111111111111E+70</v>
      </c>
    </row>
  </sheetData>
  <mergeCells count="17">
    <mergeCell ref="I8:K8"/>
    <mergeCell ref="N8:P9"/>
    <mergeCell ref="Q8:Q10"/>
    <mergeCell ref="R8:S9"/>
    <mergeCell ref="F6:G6"/>
    <mergeCell ref="B1:S1"/>
    <mergeCell ref="B2:S2"/>
    <mergeCell ref="B3:S3"/>
    <mergeCell ref="B4:S4"/>
    <mergeCell ref="B5:S5"/>
    <mergeCell ref="L8:M8"/>
    <mergeCell ref="B8:B10"/>
    <mergeCell ref="C8:C10"/>
    <mergeCell ref="D8:D10"/>
    <mergeCell ref="E8:E10"/>
    <mergeCell ref="F8:F10"/>
    <mergeCell ref="G8:H8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4"/>
  <sheetViews>
    <sheetView tabSelected="1" zoomScale="84" zoomScaleNormal="84" workbookViewId="0" topLeftCell="A1">
      <pane ySplit="9" topLeftCell="A10" activePane="bottomLeft" state="frozen"/>
      <selection pane="bottomLeft" activeCell="B5" sqref="B5:T5"/>
    </sheetView>
  </sheetViews>
  <sheetFormatPr defaultColWidth="9.140625" defaultRowHeight="15"/>
  <cols>
    <col min="1" max="1" width="1.8515625" style="1" customWidth="1"/>
    <col min="2" max="2" width="6.57421875" style="0" customWidth="1"/>
    <col min="3" max="3" width="5.7109375" style="0" customWidth="1"/>
    <col min="4" max="4" width="10.28125" style="0" customWidth="1"/>
    <col min="5" max="5" width="38.00390625" style="0" customWidth="1"/>
    <col min="6" max="6" width="8.7109375" style="0" customWidth="1"/>
    <col min="7" max="9" width="18.7109375" style="0" hidden="1" customWidth="1"/>
    <col min="10" max="11" width="21.140625" style="0" hidden="1" customWidth="1"/>
    <col min="12" max="12" width="21.00390625" style="0" hidden="1" customWidth="1"/>
    <col min="13" max="14" width="18.7109375" style="0" hidden="1" customWidth="1"/>
    <col min="15" max="17" width="10.140625" style="0" hidden="1" customWidth="1"/>
    <col min="18" max="18" width="14.00390625" style="0" hidden="1" customWidth="1"/>
    <col min="19" max="20" width="12.8515625" style="0" customWidth="1"/>
    <col min="21" max="16384" width="9.140625" style="1" customWidth="1"/>
  </cols>
  <sheetData>
    <row r="1" spans="2:20" ht="67.5" customHeight="1"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15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2:20" ht="1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ht="1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2:20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2:20" ht="15" customHeight="1">
      <c r="B6" s="15" t="s">
        <v>36</v>
      </c>
      <c r="C6" s="5"/>
      <c r="D6" s="5"/>
      <c r="E6" s="5"/>
      <c r="F6" s="39">
        <f>SUM(T11:T14)</f>
        <v>689.352</v>
      </c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1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2:20" ht="29.25" customHeight="1" thickTop="1">
      <c r="B8" s="40" t="s">
        <v>37</v>
      </c>
      <c r="C8" s="25" t="s">
        <v>5</v>
      </c>
      <c r="D8" s="25" t="s">
        <v>6</v>
      </c>
      <c r="E8" s="58" t="s">
        <v>7</v>
      </c>
      <c r="F8" s="25" t="s">
        <v>8</v>
      </c>
      <c r="G8" s="22" t="s">
        <v>9</v>
      </c>
      <c r="H8" s="23"/>
      <c r="I8" s="24"/>
      <c r="J8" s="23" t="s">
        <v>10</v>
      </c>
      <c r="K8" s="23"/>
      <c r="L8" s="24"/>
      <c r="M8" s="22" t="s">
        <v>11</v>
      </c>
      <c r="N8" s="57"/>
      <c r="O8" s="43" t="s">
        <v>12</v>
      </c>
      <c r="P8" s="43"/>
      <c r="Q8" s="43"/>
      <c r="R8" s="43" t="s">
        <v>13</v>
      </c>
      <c r="S8" s="53" t="s">
        <v>14</v>
      </c>
      <c r="T8" s="54"/>
    </row>
    <row r="9" spans="2:20" ht="75" customHeight="1">
      <c r="B9" s="41"/>
      <c r="C9" s="26"/>
      <c r="D9" s="26"/>
      <c r="E9" s="59"/>
      <c r="F9" s="26"/>
      <c r="G9" s="3" t="s">
        <v>61</v>
      </c>
      <c r="H9" s="3" t="s">
        <v>62</v>
      </c>
      <c r="I9" s="3" t="s">
        <v>63</v>
      </c>
      <c r="J9" s="3" t="s">
        <v>19</v>
      </c>
      <c r="K9" s="3" t="s">
        <v>38</v>
      </c>
      <c r="L9" s="3" t="s">
        <v>20</v>
      </c>
      <c r="M9" s="3" t="s">
        <v>64</v>
      </c>
      <c r="N9" s="3" t="s">
        <v>22</v>
      </c>
      <c r="O9" s="44"/>
      <c r="P9" s="45"/>
      <c r="Q9" s="45"/>
      <c r="R9" s="45"/>
      <c r="S9" s="55"/>
      <c r="T9" s="56"/>
    </row>
    <row r="10" spans="2:20" ht="22.5" customHeight="1">
      <c r="B10" s="42"/>
      <c r="C10" s="27"/>
      <c r="D10" s="27"/>
      <c r="E10" s="60"/>
      <c r="F10" s="27"/>
      <c r="G10" s="2" t="s">
        <v>12</v>
      </c>
      <c r="H10" s="2" t="s">
        <v>12</v>
      </c>
      <c r="I10" s="2" t="s">
        <v>12</v>
      </c>
      <c r="J10" s="2" t="s">
        <v>12</v>
      </c>
      <c r="K10" s="2" t="s">
        <v>12</v>
      </c>
      <c r="L10" s="2" t="s">
        <v>12</v>
      </c>
      <c r="M10" s="2" t="s">
        <v>12</v>
      </c>
      <c r="N10" s="2" t="s">
        <v>12</v>
      </c>
      <c r="O10" s="11" t="s">
        <v>24</v>
      </c>
      <c r="P10" s="11" t="s">
        <v>25</v>
      </c>
      <c r="Q10" s="11" t="s">
        <v>26</v>
      </c>
      <c r="R10" s="45"/>
      <c r="S10" s="12" t="s">
        <v>27</v>
      </c>
      <c r="T10" s="16" t="s">
        <v>28</v>
      </c>
    </row>
    <row r="11" spans="2:20" ht="57.75" customHeight="1">
      <c r="B11" s="17">
        <v>1</v>
      </c>
      <c r="C11" s="6">
        <v>3</v>
      </c>
      <c r="D11" s="4" t="s">
        <v>29</v>
      </c>
      <c r="E11" s="14" t="s">
        <v>65</v>
      </c>
      <c r="F11" s="14">
        <v>1662554</v>
      </c>
      <c r="G11" s="8"/>
      <c r="H11" s="8">
        <v>29.9</v>
      </c>
      <c r="I11" s="8"/>
      <c r="J11" s="8">
        <v>67.19</v>
      </c>
      <c r="K11" s="8"/>
      <c r="L11" s="9">
        <v>58.89</v>
      </c>
      <c r="M11" s="9">
        <f>(11.66/C11)+164.51</f>
        <v>168.39666666666665</v>
      </c>
      <c r="N11" s="9"/>
      <c r="O11" s="13">
        <f>MIN(G11:N11)</f>
        <v>29.9</v>
      </c>
      <c r="P11" s="13">
        <f>AVERAGE(G11:N11)</f>
        <v>81.09416666666667</v>
      </c>
      <c r="Q11" s="13">
        <f>MEDIAN(G11:N11)</f>
        <v>63.04</v>
      </c>
      <c r="R11" s="19">
        <f>STDEV(G11:N11)/AVERAGE(G11:N11)</f>
        <v>0.7442834846709467</v>
      </c>
      <c r="S11" s="7">
        <f>IF(R11&lt;25%,P11,Q11)</f>
        <v>63.04</v>
      </c>
      <c r="T11" s="18">
        <f>S11*C11</f>
        <v>189.12</v>
      </c>
    </row>
    <row r="12" spans="2:20" ht="57.75" customHeight="1">
      <c r="B12" s="17">
        <v>2</v>
      </c>
      <c r="C12" s="6">
        <v>3</v>
      </c>
      <c r="D12" s="4" t="s">
        <v>29</v>
      </c>
      <c r="E12" s="14" t="s">
        <v>66</v>
      </c>
      <c r="F12" s="14">
        <v>1506196</v>
      </c>
      <c r="G12" s="10">
        <v>86.83</v>
      </c>
      <c r="H12" s="8"/>
      <c r="I12" s="10"/>
      <c r="J12" s="10">
        <v>90.27</v>
      </c>
      <c r="K12" s="10">
        <v>49</v>
      </c>
      <c r="L12" s="10">
        <v>79.12</v>
      </c>
      <c r="M12" s="10">
        <f>(10.88/C12)+65.54</f>
        <v>69.16666666666667</v>
      </c>
      <c r="N12" s="10"/>
      <c r="O12" s="13">
        <f>MIN(G12:N12)</f>
        <v>49</v>
      </c>
      <c r="P12" s="13">
        <f>AVERAGE(G12:N12)</f>
        <v>74.87733333333334</v>
      </c>
      <c r="Q12" s="13">
        <f>MEDIAN(G12:N12)</f>
        <v>79.12</v>
      </c>
      <c r="R12" s="19">
        <f>STDEV(G12:N12)/AVERAGE(G12:N12)</f>
        <v>0.22147545348878592</v>
      </c>
      <c r="S12" s="7">
        <f aca="true" t="shared" si="0" ref="S12:S14">IF(R12&lt;25%,P12,Q12)</f>
        <v>74.87733333333334</v>
      </c>
      <c r="T12" s="18">
        <f>S12*C12</f>
        <v>224.632</v>
      </c>
    </row>
    <row r="13" spans="2:20" ht="57.75" customHeight="1">
      <c r="B13" s="17">
        <v>3</v>
      </c>
      <c r="C13" s="6">
        <v>4</v>
      </c>
      <c r="D13" s="4" t="s">
        <v>29</v>
      </c>
      <c r="E13" s="14" t="s">
        <v>67</v>
      </c>
      <c r="F13" s="14">
        <v>749362</v>
      </c>
      <c r="G13" s="10"/>
      <c r="H13" s="8"/>
      <c r="I13" s="10">
        <v>7.84</v>
      </c>
      <c r="J13" s="10">
        <v>18.74</v>
      </c>
      <c r="K13" s="10"/>
      <c r="L13" s="10"/>
      <c r="N13" s="10">
        <f>(11.22/C13)+27.67</f>
        <v>30.475</v>
      </c>
      <c r="O13" s="13">
        <f>MIN(G13:N13)</f>
        <v>7.84</v>
      </c>
      <c r="P13" s="13">
        <f>AVERAGE(G13:N13)</f>
        <v>19.018333333333334</v>
      </c>
      <c r="Q13" s="13">
        <f>MEDIAN(G13:N13)</f>
        <v>18.74</v>
      </c>
      <c r="R13" s="19">
        <f>STDEV(G13:N13)/AVERAGE(G13:N13)</f>
        <v>0.5952186463395499</v>
      </c>
      <c r="S13" s="7">
        <f t="shared" si="0"/>
        <v>18.74</v>
      </c>
      <c r="T13" s="18">
        <f>S13*C13</f>
        <v>74.96</v>
      </c>
    </row>
    <row r="14" spans="2:20" ht="57.75" customHeight="1">
      <c r="B14" s="17">
        <v>4</v>
      </c>
      <c r="C14" s="6">
        <v>4</v>
      </c>
      <c r="D14" s="4" t="s">
        <v>29</v>
      </c>
      <c r="E14" s="14" t="s">
        <v>68</v>
      </c>
      <c r="F14" s="14">
        <v>1506200</v>
      </c>
      <c r="G14" s="10"/>
      <c r="H14" s="8">
        <v>29.9</v>
      </c>
      <c r="I14" s="10"/>
      <c r="J14" s="10">
        <v>50.16</v>
      </c>
      <c r="K14" s="10"/>
      <c r="L14" s="10"/>
      <c r="M14" s="10">
        <f>(11.98/C14)+190.38</f>
        <v>193.375</v>
      </c>
      <c r="N14" s="10"/>
      <c r="O14" s="13">
        <f>MIN(G14:N14)</f>
        <v>29.9</v>
      </c>
      <c r="P14" s="13">
        <f>AVERAGE(G14:N14)</f>
        <v>91.145</v>
      </c>
      <c r="Q14" s="13">
        <f>MEDIAN(G14:N14)</f>
        <v>50.16</v>
      </c>
      <c r="R14" s="19">
        <f>STDEV(G14:N14)/AVERAGE(G14:N14)</f>
        <v>0.9776886045159755</v>
      </c>
      <c r="S14" s="7">
        <f t="shared" si="0"/>
        <v>50.16</v>
      </c>
      <c r="T14" s="18">
        <f>S14*C14</f>
        <v>200.64</v>
      </c>
    </row>
  </sheetData>
  <mergeCells count="17">
    <mergeCell ref="B8:B10"/>
    <mergeCell ref="C8:C10"/>
    <mergeCell ref="D8:D10"/>
    <mergeCell ref="E8:E10"/>
    <mergeCell ref="F8:F10"/>
    <mergeCell ref="M8:N8"/>
    <mergeCell ref="O8:Q9"/>
    <mergeCell ref="R8:R10"/>
    <mergeCell ref="S8:T9"/>
    <mergeCell ref="F6:G6"/>
    <mergeCell ref="J8:L8"/>
    <mergeCell ref="G8:I8"/>
    <mergeCell ref="B1:T1"/>
    <mergeCell ref="B2:T2"/>
    <mergeCell ref="B3:T3"/>
    <mergeCell ref="B4:T4"/>
    <mergeCell ref="B5:T5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3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eb315a1-fd1d-4c46-bc29-5324cfd31550" xsi:nil="true"/>
    <lcf76f155ced4ddcb4097134ff3c332f xmlns="1eb315a1-fd1d-4c46-bc29-5324cfd31550">
      <Terms xmlns="http://schemas.microsoft.com/office/infopath/2007/PartnerControls"/>
    </lcf76f155ced4ddcb4097134ff3c332f>
    <TaxCatchAll xmlns="040f40de-0951-4de2-aa99-b1ea904a966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66810F3571A045AFE15E5668B16395" ma:contentTypeVersion="15" ma:contentTypeDescription="Crie um novo documento." ma:contentTypeScope="" ma:versionID="165e3be7e68e31343e9ec819c6fabc2e">
  <xsd:schema xmlns:xsd="http://www.w3.org/2001/XMLSchema" xmlns:xs="http://www.w3.org/2001/XMLSchema" xmlns:p="http://schemas.microsoft.com/office/2006/metadata/properties" xmlns:ns2="1eb315a1-fd1d-4c46-bc29-5324cfd31550" xmlns:ns3="040f40de-0951-4de2-aa99-b1ea904a966c" targetNamespace="http://schemas.microsoft.com/office/2006/metadata/properties" ma:root="true" ma:fieldsID="64ea8a45d9230794d888ce492a6e508e" ns2:_="" ns3:_="">
    <xsd:import namespace="1eb315a1-fd1d-4c46-bc29-5324cfd31550"/>
    <xsd:import namespace="040f40de-0951-4de2-aa99-b1ea904a9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315a1-fd1d-4c46-bc29-5324cfd31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tus de liberação" ma:internalName="Status_x0020_de_x0020_libera_x00e7__x00e3_o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05f465-c0dd-4870-bbe2-ba24a410d0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0de-0951-4de2-aa99-b1ea904a9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41b97-112f-42a4-9487-746d41916657}" ma:internalName="TaxCatchAll" ma:showField="CatchAllData" ma:web="040f40de-0951-4de2-aa99-b1ea904a96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CBAFDF-1564-4C74-90E1-FD7F2B807210}">
  <ds:schemaRefs>
    <ds:schemaRef ds:uri="http://www.w3.org/XML/1998/namespace"/>
    <ds:schemaRef ds:uri="http://schemas.microsoft.com/office/2006/metadata/properties"/>
    <ds:schemaRef ds:uri="http://purl.org/dc/terms/"/>
    <ds:schemaRef ds:uri="040f40de-0951-4de2-aa99-b1ea904a966c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eb315a1-fd1d-4c46-bc29-5324cfd3155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F63BCD-3679-4AFF-B82D-180996973E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315a1-fd1d-4c46-bc29-5324cfd31550"/>
    <ds:schemaRef ds:uri="040f40de-0951-4de2-aa99-b1ea904a9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9A6100-6B42-44A0-9EBB-BEE98F3FBE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GONCALVES DE LIMA</dc:creator>
  <cp:keywords/>
  <dc:description/>
  <cp:lastModifiedBy>Simone de Oliveira Capanema</cp:lastModifiedBy>
  <dcterms:created xsi:type="dcterms:W3CDTF">2018-05-03T15:00:37Z</dcterms:created>
  <dcterms:modified xsi:type="dcterms:W3CDTF">2023-04-19T18:35:43Z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0x0101005766810F3571A045AFE15E5668B16395</vt:lpwstr>
  </property>
  <property fmtid="{D5CDD505-2E9C-101B-9397-08002B2CF9AE}" pid="3" name="MediaServiceImageTags">
    <vt:lpwstr/>
  </property>
</Properties>
</file>