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44926" yWindow="65416" windowWidth="20730" windowHeight="11160" tabRatio="500" activeTab="0"/>
  </bookViews>
  <sheets>
    <sheet name="Peso" sheetId="1" r:id="rId1"/>
  </sheets>
  <definedNames/>
  <calcPr calcId="191028"/>
  <extLst/>
</workbook>
</file>

<file path=xl/sharedStrings.xml><?xml version="1.0" encoding="utf-8"?>
<sst xmlns="http://schemas.openxmlformats.org/spreadsheetml/2006/main" count="561" uniqueCount="368">
  <si>
    <t>BENS PERMANENTES</t>
  </si>
  <si>
    <t>Descrição dos bens</t>
  </si>
  <si>
    <t>Código</t>
  </si>
  <si>
    <t>Peso (gramas)</t>
  </si>
  <si>
    <t>Peso (Kg)</t>
  </si>
  <si>
    <t>ALTURA (m)</t>
  </si>
  <si>
    <t>LARGURA (m)</t>
  </si>
  <si>
    <t>PROFUNDIDADE (m)</t>
  </si>
  <si>
    <t xml:space="preserve">VOLUME ESTIMADO
 EM M³ </t>
  </si>
  <si>
    <t>COMO CHEGA NO GALPÃO (PACOTE? CAIXA? FARDO?)</t>
  </si>
  <si>
    <t>OBSERVAÇÃO</t>
  </si>
  <si>
    <t>almofada para proteção de antebraços</t>
  </si>
  <si>
    <t>UNITARIO</t>
  </si>
  <si>
    <t>armário cofre</t>
  </si>
  <si>
    <t>apoio para pés</t>
  </si>
  <si>
    <t>armário de aço</t>
  </si>
  <si>
    <t>armário de madeira fechado (especial PGJ)</t>
  </si>
  <si>
    <t>armário de madeira misto (especial PGJ)</t>
  </si>
  <si>
    <t>arquivo de aço</t>
  </si>
  <si>
    <t>bebedouro de coluna</t>
  </si>
  <si>
    <t>bebedouro de coluna PNE</t>
  </si>
  <si>
    <t>bebedouro de galão</t>
  </si>
  <si>
    <t>cadeira chefia</t>
  </si>
  <si>
    <t>cadeira fixa</t>
  </si>
  <si>
    <t>cadeira funcionário</t>
  </si>
  <si>
    <t>cadeira plástica Tramontina</t>
  </si>
  <si>
    <t>cadeira refeitório</t>
  </si>
  <si>
    <t>cadeira vigilante</t>
  </si>
  <si>
    <t>carrinho de carga</t>
  </si>
  <si>
    <t>carrinho para processos</t>
  </si>
  <si>
    <t>carrinho de supermercado</t>
  </si>
  <si>
    <t>carrinho tipo gaiola</t>
  </si>
  <si>
    <t>circulador de ar</t>
  </si>
  <si>
    <t>claviculário 50 chaves</t>
  </si>
  <si>
    <t>179710-7</t>
  </si>
  <si>
    <t>Medidas retiradas do TR</t>
  </si>
  <si>
    <t>claviculário 100 chaves</t>
  </si>
  <si>
    <t>179709-3</t>
  </si>
  <si>
    <t>climatizador de ar</t>
  </si>
  <si>
    <t>cofre para escritório</t>
  </si>
  <si>
    <t>179565-1</t>
  </si>
  <si>
    <t>coletor/contentor de lixo 120 litros</t>
  </si>
  <si>
    <t>coletor/contentor de lixo 240 litros</t>
  </si>
  <si>
    <t>condicionador de ar</t>
  </si>
  <si>
    <t>escaninho de aço</t>
  </si>
  <si>
    <t>estante de aço</t>
  </si>
  <si>
    <t>estante de madeira p/ livros (especial PGJ)</t>
  </si>
  <si>
    <t>fogão</t>
  </si>
  <si>
    <t>fone de ouvido</t>
  </si>
  <si>
    <t>fragmentadora de papéis</t>
  </si>
  <si>
    <t>gaveteiro volante (especial GD)</t>
  </si>
  <si>
    <t>leitor de código de barras</t>
  </si>
  <si>
    <t>longarina 2 lugares</t>
  </si>
  <si>
    <t>longarina 3 lugares</t>
  </si>
  <si>
    <t>máquina de café 06 litros</t>
  </si>
  <si>
    <t>máquina de café 20 litros</t>
  </si>
  <si>
    <t>relógio de protocolo</t>
  </si>
  <si>
    <t>mesa angular funcional (2021)</t>
  </si>
  <si>
    <t>mesa chefia</t>
  </si>
  <si>
    <t>mesa funcionário</t>
  </si>
  <si>
    <t>mesa impressora</t>
  </si>
  <si>
    <t>mesa micro</t>
  </si>
  <si>
    <t>mesa para auditório</t>
  </si>
  <si>
    <t>mesa península para chefia (2021)</t>
  </si>
  <si>
    <t>mesa refeitório</t>
  </si>
  <si>
    <t>mesa reunião redonda - 1,15m</t>
  </si>
  <si>
    <t>mesa reunião redonda - 1,20m (tecno2000)</t>
  </si>
  <si>
    <t>mesa reunião redonda - 1,40m</t>
  </si>
  <si>
    <t>mesa reunião redonda (especial PGJ)</t>
  </si>
  <si>
    <t>mesa reta (tecno2000)</t>
  </si>
  <si>
    <t>mesa reunião retangular - 2,20m x 0,90m (especial GD)</t>
  </si>
  <si>
    <t>mesa reunião retangular - 2,40 x 1,20m</t>
  </si>
  <si>
    <t>mesa reunião retangular - 2,80 x 0,90m</t>
  </si>
  <si>
    <t>mesa telefone</t>
  </si>
  <si>
    <t>mesa trapezoidal</t>
  </si>
  <si>
    <t>microcomputador 3050</t>
  </si>
  <si>
    <t>microcomputador 3070</t>
  </si>
  <si>
    <t>microcomputador 5070</t>
  </si>
  <si>
    <t>monitor de vídeo 23.8</t>
  </si>
  <si>
    <t>notebook</t>
  </si>
  <si>
    <t>purificador de água</t>
  </si>
  <si>
    <t>projetor de multimidia</t>
  </si>
  <si>
    <t>quadro branco</t>
  </si>
  <si>
    <t>quadro de avisos</t>
  </si>
  <si>
    <t>refrigerador</t>
  </si>
  <si>
    <t>40-0</t>
  </si>
  <si>
    <t>scanner</t>
  </si>
  <si>
    <t>suporte para leitura de textos</t>
  </si>
  <si>
    <t>suporte para monitor</t>
  </si>
  <si>
    <t>suporte para projetor</t>
  </si>
  <si>
    <t xml:space="preserve">tela de projeção </t>
  </si>
  <si>
    <t>televisor 75"</t>
  </si>
  <si>
    <t>televisor 55"</t>
  </si>
  <si>
    <t>webcam</t>
  </si>
  <si>
    <t>134487-0</t>
  </si>
  <si>
    <t>Mesa reta (120x75cm)</t>
  </si>
  <si>
    <t>Mesa principal (165x75cm)</t>
  </si>
  <si>
    <t>Conexão (75x75cm)</t>
  </si>
  <si>
    <t>Gaveteiro (35x50cm)</t>
  </si>
  <si>
    <t>Armario baixo 90x60cm</t>
  </si>
  <si>
    <t>Mesa reunião redonda – 120cm</t>
  </si>
  <si>
    <t>Mesa angular funcional – 140x140cm</t>
  </si>
  <si>
    <t xml:space="preserve">Mesa reta – 120x60cm </t>
  </si>
  <si>
    <t>Mesa reta de apoio – 80x60cm</t>
  </si>
  <si>
    <t>Mesa reunião redonda – 80cm</t>
  </si>
  <si>
    <t>Mesa reunião retangular – 220x90cm</t>
  </si>
  <si>
    <t>Mesa reunião retangular – 240x120cm</t>
  </si>
  <si>
    <t>Mesa reunião retangular – 310x120cm</t>
  </si>
  <si>
    <t>poltrona</t>
  </si>
  <si>
    <t>BENS DE CONSUMO</t>
  </si>
  <si>
    <t>ALTURA (cm)</t>
  </si>
  <si>
    <t>LARGURA (cm)</t>
  </si>
  <si>
    <t>PROFUNDIDADE (cm)</t>
  </si>
  <si>
    <t>Açúcar cristal</t>
  </si>
  <si>
    <t xml:space="preserve">6 - UNIDADES NO FARDO </t>
  </si>
  <si>
    <t>Açúcar refinado</t>
  </si>
  <si>
    <t xml:space="preserve">10 - UNIDADES NO FARDO </t>
  </si>
  <si>
    <t>Adoçante dietético</t>
  </si>
  <si>
    <t xml:space="preserve">12- UNIDADES NA CAIXA </t>
  </si>
  <si>
    <t>Agenda telefônica</t>
  </si>
  <si>
    <t>Almofada para carimbo azul</t>
  </si>
  <si>
    <t xml:space="preserve">12 - UNIDADES NO PACOTE </t>
  </si>
  <si>
    <t>Aparelho telefônico</t>
  </si>
  <si>
    <t xml:space="preserve">20 - UNIDADES NA CAIXA </t>
  </si>
  <si>
    <t>Apontador escolar</t>
  </si>
  <si>
    <t xml:space="preserve">288 - UNIDADES NA CAIXA </t>
  </si>
  <si>
    <t>Bandeira do Brasil 2,56 m x 1,80 m Tergal</t>
  </si>
  <si>
    <t>MEDIDA E PESO DO KIT DA BANDEIRA (3 DE CADA DENTRO DA CAIXA)</t>
  </si>
  <si>
    <t>Bandeira do Brasil 1,30 m x 0,90 m Cetim</t>
  </si>
  <si>
    <t>Bandeira do Brasil 1,93 m x 1,35 m Tergal</t>
  </si>
  <si>
    <t>Bandeira de Minas Gerais 1,30 x 0,90 m Cetim</t>
  </si>
  <si>
    <t>Bandeira de Minas Gerais 1,93 x 1,35 m Tergal</t>
  </si>
  <si>
    <t>Bandeira de Minas Gerais 2,56 x 1,8 m Tergal</t>
  </si>
  <si>
    <t>Bandeira do Ministério Público 1,30 x 0,90 m Cetim</t>
  </si>
  <si>
    <t>Bandeira do Ministério Público 1,93 x 1,35 m Tergal</t>
  </si>
  <si>
    <t>Bandeira do Ministério Público 2,56 x 1,80 m Tergal</t>
  </si>
  <si>
    <t>Bloco com pauta modelo 07</t>
  </si>
  <si>
    <t>-</t>
  </si>
  <si>
    <t xml:space="preserve">NÃO TEMOS EM ESTOQUE, SÃO BENS PERSONALIZADOS. </t>
  </si>
  <si>
    <t>Bloco com pauta modelo 01</t>
  </si>
  <si>
    <t>Bloco recado</t>
  </si>
  <si>
    <t>Bloco sem pauta grande - modelo 2</t>
  </si>
  <si>
    <t>QNT. SOLICITADA PELA COORDENAÇÃO</t>
  </si>
  <si>
    <t>Bloco sem pauta modelo 12</t>
  </si>
  <si>
    <t xml:space="preserve">UNITARIO </t>
  </si>
  <si>
    <t>Bobina 57x57x30m para calculadora</t>
  </si>
  <si>
    <t xml:space="preserve">30 - UNIDADE </t>
  </si>
  <si>
    <t>Bobina de papel Kraft 60/80</t>
  </si>
  <si>
    <t xml:space="preserve">1 ROLO </t>
  </si>
  <si>
    <t>O ROLO NÃO VEM EMBALADO, NÃO HÁ CAIXA E É UM BEM DE USO EXCLUSIVO DA DIMAT.</t>
  </si>
  <si>
    <t>Bobina para fax 215mm x 30 m</t>
  </si>
  <si>
    <t xml:space="preserve">12 - UNIDADE </t>
  </si>
  <si>
    <t>Borracha branca</t>
  </si>
  <si>
    <t xml:space="preserve">20 - UNIDADE </t>
  </si>
  <si>
    <t>Bule para café alumínio 7 litros</t>
  </si>
  <si>
    <t>Café em pó</t>
  </si>
  <si>
    <t xml:space="preserve">10 - UNIDADES NO FARDO DE 500KG </t>
  </si>
  <si>
    <t>Caixa arquivo morto 36 x 25 x 13,5</t>
  </si>
  <si>
    <t xml:space="preserve">25 - UNIDADES POR FARDO </t>
  </si>
  <si>
    <t>Caixa de papelão 18 x 37 x 54 cm</t>
  </si>
  <si>
    <t xml:space="preserve"> 10 UNIDADE </t>
  </si>
  <si>
    <t>Caixa de papelão 46 x 35 x 27 cm</t>
  </si>
  <si>
    <t xml:space="preserve">10 - UNIDADE </t>
  </si>
  <si>
    <t>Caixa de papelão 50 x 50 x 50 cm</t>
  </si>
  <si>
    <t>Caixa de papelão 56 x 45 x 27 cm - DINF</t>
  </si>
  <si>
    <t>Caixa para correspondência em acrílico ( papeleira )</t>
  </si>
  <si>
    <t xml:space="preserve">1 - UNIDADE  NA CAIXA </t>
  </si>
  <si>
    <t>Caneco alumínio 7 litros</t>
  </si>
  <si>
    <t>Caneta esferográfica azul</t>
  </si>
  <si>
    <t xml:space="preserve">100 - UNIDADES NA CAIXA </t>
  </si>
  <si>
    <t>Caneta esferográfica preta</t>
  </si>
  <si>
    <t>50 - UNIDADES NA CAIXA</t>
  </si>
  <si>
    <t>Caneta esferográfica vermelha</t>
  </si>
  <si>
    <t>Caneta hidrocor preta</t>
  </si>
  <si>
    <t xml:space="preserve">12 - UNIDADES NA CAIXA </t>
  </si>
  <si>
    <t>Caneta hidrocor vermelha</t>
  </si>
  <si>
    <t>Capa plástica processos</t>
  </si>
  <si>
    <t xml:space="preserve">50 - UNIDADE </t>
  </si>
  <si>
    <t>Capa procedimento administrativo salmon</t>
  </si>
  <si>
    <t xml:space="preserve">50 UNIDADE </t>
  </si>
  <si>
    <t>Capa processo corregedoria Geral - Kraft</t>
  </si>
  <si>
    <t xml:space="preserve">100 - UNIDADES NO FARDO </t>
  </si>
  <si>
    <t>Capa processo Ministério Público modelo 21</t>
  </si>
  <si>
    <t>Capa processo Modelo 21 amarela</t>
  </si>
  <si>
    <t xml:space="preserve">50 - UNIDADE NO FARDO </t>
  </si>
  <si>
    <t>Capa processo Modelo 21 rosa</t>
  </si>
  <si>
    <t>Capa processo Modelo 21 verde</t>
  </si>
  <si>
    <t>Cartão MP PGJ Mod 09</t>
  </si>
  <si>
    <t xml:space="preserve">500 - UNIDADE </t>
  </si>
  <si>
    <t>CD RW regravável</t>
  </si>
  <si>
    <t xml:space="preserve">148 - UNIDADE NA CAIXA </t>
  </si>
  <si>
    <t>CD-R gravável com superfície fosca</t>
  </si>
  <si>
    <t>Clips número 02</t>
  </si>
  <si>
    <t xml:space="preserve">25 - UNIDADES NA EMBALAGEM </t>
  </si>
  <si>
    <t>Clips número 06</t>
  </si>
  <si>
    <t xml:space="preserve">25 - UNDADE NA EMBALAGEM </t>
  </si>
  <si>
    <t>Coador número 06 em flanela</t>
  </si>
  <si>
    <t>5 UNIDADES</t>
  </si>
  <si>
    <t>Cola branca em bastão 09 gramas</t>
  </si>
  <si>
    <t xml:space="preserve">12 -  UNIDADES NA CAIXA </t>
  </si>
  <si>
    <t>Cola escolar branca líquida 90 gramas</t>
  </si>
  <si>
    <t>6-UNIDADES</t>
  </si>
  <si>
    <t>Colchetes número 09</t>
  </si>
  <si>
    <t>20 - UNIDADES</t>
  </si>
  <si>
    <t>Colchetes número 12</t>
  </si>
  <si>
    <t xml:space="preserve">10 - UNIDADES </t>
  </si>
  <si>
    <t>Colher em inox para café</t>
  </si>
  <si>
    <t>Copo de vidro para água 310 ml</t>
  </si>
  <si>
    <t>24 - UNIDADES NA CAIXA</t>
  </si>
  <si>
    <t>Copo plástico para água 200 ml</t>
  </si>
  <si>
    <t>CAIXA COM 25 PACOTES DE 100 COPOS</t>
  </si>
  <si>
    <t>Copo plástico para café 50 ml</t>
  </si>
  <si>
    <t>50 PACOTES COM 100 COPOS</t>
  </si>
  <si>
    <t>Corretivo líquido multiuso</t>
  </si>
  <si>
    <t>Creme umidecedor de dedo</t>
  </si>
  <si>
    <t>Divisória plástica A4</t>
  </si>
  <si>
    <t xml:space="preserve">10 - UNIDADE NA EMBALAGEM </t>
  </si>
  <si>
    <t>DVD-R gravável</t>
  </si>
  <si>
    <t>Elástico número 18</t>
  </si>
  <si>
    <t xml:space="preserve">200 - UNIDADES NO SACO </t>
  </si>
  <si>
    <t>Envelope PGJ 02</t>
  </si>
  <si>
    <t xml:space="preserve">250 - UNIDADES NA CAIXA </t>
  </si>
  <si>
    <t>Envelope PGJ 16 branco</t>
  </si>
  <si>
    <t xml:space="preserve">1000 - UNIDADES NA CAIXA </t>
  </si>
  <si>
    <t>Envelope PGJ 07</t>
  </si>
  <si>
    <t>Envelope PGJ 04</t>
  </si>
  <si>
    <t>1000 - UNIDADE NA CAIXA FRACIONADO COM 100 PC</t>
  </si>
  <si>
    <t>Envelope pardo departamento médico 140 x 230 mm</t>
  </si>
  <si>
    <t>250 - UNIDADES NA CAIXA FRACIONADO COM 50 PC</t>
  </si>
  <si>
    <t>Envelope pardo departamento médico 229 x 324 mm</t>
  </si>
  <si>
    <t>Envelope PGJ 06</t>
  </si>
  <si>
    <t>Envelope PGJ 05</t>
  </si>
  <si>
    <t>25O - UNIDADES NA CAIXA FRACIONADO COM 50 PC</t>
  </si>
  <si>
    <t>Envelope PGJ 01</t>
  </si>
  <si>
    <t>Envelope PGJ 03</t>
  </si>
  <si>
    <t>25O- UNIDADES NA CAIXA FRACIONADO COM 50 PC</t>
  </si>
  <si>
    <t>Envelope PGJ 48</t>
  </si>
  <si>
    <t>Envelope PGJ 49</t>
  </si>
  <si>
    <t>250 - UNIDADE NA CAIXA FRACIONADO COM 50 PC</t>
  </si>
  <si>
    <t>Estilete para lâmina de 18 mm</t>
  </si>
  <si>
    <t xml:space="preserve">12 UNIDADE NA CAIXA </t>
  </si>
  <si>
    <t>Etiqueta 33,9 x 101,6 mm adesiva</t>
  </si>
  <si>
    <t xml:space="preserve">100 UNIDADE NA CAIXA </t>
  </si>
  <si>
    <t>Etiqueta 84,67 x 101,6 mm adesiva</t>
  </si>
  <si>
    <t xml:space="preserve">100 - UNIDADE NA CAIXA </t>
  </si>
  <si>
    <t>Etiqueta adesiva SRU 148 X 17 MM formato A4</t>
  </si>
  <si>
    <t>Etiqueta adesiva 138,11 x 106,36 mm</t>
  </si>
  <si>
    <t>Etiqueta adesiva 215,9 x 279,4</t>
  </si>
  <si>
    <t>Etiqueta adesiva 99,1 x 67,7 mm</t>
  </si>
  <si>
    <t>Etiqueta para CD A4CDI</t>
  </si>
  <si>
    <t xml:space="preserve">50 - UNIDADE NA CAIXA </t>
  </si>
  <si>
    <t>A CAIXA DAS ETIQUETAS DE CD NÃO TEM LARGURA E COM ISSO A GENTE NÃO CONSEGUE MEDIR O METRO.</t>
  </si>
  <si>
    <t>Extrator de grampo em metal</t>
  </si>
  <si>
    <t xml:space="preserve">12 - UNIDADE NA CAIXA </t>
  </si>
  <si>
    <t>Faca inox para sobremesa</t>
  </si>
  <si>
    <t>Ficha pautada departamento médico</t>
  </si>
  <si>
    <t>Fita adesiva transparente - 45 mm x 45 m</t>
  </si>
  <si>
    <t xml:space="preserve">CAIXA COM 100 FITAS </t>
  </si>
  <si>
    <t>Fita adesiva para embalagem 48 x 50 ( cor marrom )</t>
  </si>
  <si>
    <t>Fita crepe 19 mm x 50 m</t>
  </si>
  <si>
    <t>72 UNIDADES NA CAIXA</t>
  </si>
  <si>
    <t>Fita crepe 48 mm x 50 m - larga</t>
  </si>
  <si>
    <t xml:space="preserve">36 - UNIDADES NA CAIXA </t>
  </si>
  <si>
    <t>Fita durex 12 mm x 50 m</t>
  </si>
  <si>
    <t>400 UNIDADES NA CAIXA</t>
  </si>
  <si>
    <t>Fita para protocolador Henry</t>
  </si>
  <si>
    <t>Folha Gabinete Procurador</t>
  </si>
  <si>
    <t>Folha para cavalete flip chart</t>
  </si>
  <si>
    <t>BLOCO COM 50 FOLHAS</t>
  </si>
  <si>
    <t>Garrafa térmica em inox 1800 ml</t>
  </si>
  <si>
    <t xml:space="preserve">6 - UNIDADE NA CAIXA </t>
  </si>
  <si>
    <t>NÃO TEMOS O BEM EM ESTOQUE E NA INTERNET NÃO CONSTA A PROFUNDIDADE, SENDO ASSIM, NÃO TEM COMO MEDIR O METRO CUBICO.</t>
  </si>
  <si>
    <t>Garrafa térmica plástica 1.000 ml</t>
  </si>
  <si>
    <t>Grafite 05 hb</t>
  </si>
  <si>
    <t xml:space="preserve">12 - UNIDAE POR EMBALAGEM </t>
  </si>
  <si>
    <t>Grampeador médio ( 40 folhas )</t>
  </si>
  <si>
    <t xml:space="preserve">1 - UNIDADE POR CAIXA </t>
  </si>
  <si>
    <t>Grampeador semi-industrial ( 100 folhas )</t>
  </si>
  <si>
    <t>Grampo 26/6 caixa c/ 5.000</t>
  </si>
  <si>
    <t xml:space="preserve">20 - UNIDADE NA CAIXA </t>
  </si>
  <si>
    <t>Grampo 26/8 grampeador 40 folhas ( caixa c/ 5000 )</t>
  </si>
  <si>
    <t>5000 - GRAMPOS</t>
  </si>
  <si>
    <t>Grampo 9/10 caixa c/ 1.000</t>
  </si>
  <si>
    <t xml:space="preserve">50 - UNIDADES NA CAIXA </t>
  </si>
  <si>
    <t>Grampo 9/14 caixa c/ 1.000</t>
  </si>
  <si>
    <t>Grampo trilho plástico</t>
  </si>
  <si>
    <t>50 - UNIDADES</t>
  </si>
  <si>
    <t>Guardanapo de papel</t>
  </si>
  <si>
    <t xml:space="preserve">80 - UNIDADE NA CAIXA </t>
  </si>
  <si>
    <t>Jarra inox para água 2 litros</t>
  </si>
  <si>
    <t>Lápis borracha</t>
  </si>
  <si>
    <t>Lápis preto número 2</t>
  </si>
  <si>
    <t>Lapiseira 0,5 mm</t>
  </si>
  <si>
    <t>Livro para ata 100 folhas</t>
  </si>
  <si>
    <t xml:space="preserve">5 - UNIDADE POR EMBALAGEM </t>
  </si>
  <si>
    <t>Livro protocolo B-100</t>
  </si>
  <si>
    <t xml:space="preserve">10 - UNIDADES POR EMBALAGEM </t>
  </si>
  <si>
    <t>Lixeira cilíndrica 10 L preta</t>
  </si>
  <si>
    <t>Lixeira 20 l branca p/ banheiro c/ pedal</t>
  </si>
  <si>
    <t>Mastro em alumínio</t>
  </si>
  <si>
    <t xml:space="preserve">3 MASTROS </t>
  </si>
  <si>
    <t>Pano de prato</t>
  </si>
  <si>
    <t xml:space="preserve">5 UNIDADES </t>
  </si>
  <si>
    <t>Papel A3 75 gr - branco</t>
  </si>
  <si>
    <t xml:space="preserve">6 - UNIDADES NA CAIXA </t>
  </si>
  <si>
    <t>Papel alta alvura 120 gramas</t>
  </si>
  <si>
    <t>ITEM DESCONTINUADO</t>
  </si>
  <si>
    <t>NÃO TEMOS O BEM EM ESTOQUE, APARENTEMENTE NÃO SERÁ FORNECIDO MAIS.</t>
  </si>
  <si>
    <t>Papel auto-adesivo 38 mm x 51 mm</t>
  </si>
  <si>
    <t xml:space="preserve">48 - UNIDADES NA CAIXA </t>
  </si>
  <si>
    <t>Papel auto-adesivo 76 mm x 76 mm</t>
  </si>
  <si>
    <t>Papel contact transparente</t>
  </si>
  <si>
    <t xml:space="preserve">4 ROLOS DE 25 METROS </t>
  </si>
  <si>
    <t>Papel para xerox A4 reciclado</t>
  </si>
  <si>
    <t xml:space="preserve">10 - UNIDADES NA CAIXA </t>
  </si>
  <si>
    <t>Papel para xerox A4 branco</t>
  </si>
  <si>
    <t xml:space="preserve">10 UNIDADES NA CAIXA </t>
  </si>
  <si>
    <t>Pasta AZ</t>
  </si>
  <si>
    <t xml:space="preserve">32 - UNIDAES NA CAIXA </t>
  </si>
  <si>
    <t>Pasta catálogo / Porta folheto ( pra 50 plásticos )</t>
  </si>
  <si>
    <t>Pasta PGJ com logotipo</t>
  </si>
  <si>
    <t xml:space="preserve">100 - UNIDADE </t>
  </si>
  <si>
    <t>Pasta suspensa</t>
  </si>
  <si>
    <t xml:space="preserve">40 - UNIDADES NA CAIXA </t>
  </si>
  <si>
    <t>Pasta tipo azul 240x340x50 mm</t>
  </si>
  <si>
    <t xml:space="preserve">1 - UNIDADE </t>
  </si>
  <si>
    <t>Pedestal para 3 bandeiras</t>
  </si>
  <si>
    <t>Pen drive 16 GB</t>
  </si>
  <si>
    <t>1 - UNIDADE</t>
  </si>
  <si>
    <t>Perfurador de papel grande ( 50 folhas )</t>
  </si>
  <si>
    <t>Pilha alcalina 12 V / 3A</t>
  </si>
  <si>
    <t>10 PILHAS</t>
  </si>
  <si>
    <t>Pilha alcalina AA</t>
  </si>
  <si>
    <t>40 PILHAS</t>
  </si>
  <si>
    <t>Pilha alcalina AAA 1,5 V</t>
  </si>
  <si>
    <t>Pincel atômico azul permanente</t>
  </si>
  <si>
    <t>Pincel atômico preto</t>
  </si>
  <si>
    <t>Pincel atômico preto - permanente</t>
  </si>
  <si>
    <t xml:space="preserve"> 12 - UNIDADES NA CAIXA </t>
  </si>
  <si>
    <t>Pincel atômico vermelho</t>
  </si>
  <si>
    <t>Pincel marca-texto amarelo</t>
  </si>
  <si>
    <t>Pincel para quadro branco cor azul</t>
  </si>
  <si>
    <t>Pincel para quadro branco cor preta</t>
  </si>
  <si>
    <t>Pincel para quadro branco cor vermelha</t>
  </si>
  <si>
    <t>Plástico para pasta porta folheto</t>
  </si>
  <si>
    <t>100 - UNIDADE</t>
  </si>
  <si>
    <t>Prancheta em acrílico</t>
  </si>
  <si>
    <t>CAIXA COM 9 UNIDADES</t>
  </si>
  <si>
    <t>Régua 30 cm</t>
  </si>
  <si>
    <t>100 - UNIDADES NA CAIXA</t>
  </si>
  <si>
    <t>Saco de ráfia 100 litros</t>
  </si>
  <si>
    <t>50 UNIDADES</t>
  </si>
  <si>
    <t>Tesoura número 8</t>
  </si>
  <si>
    <t>Tinta para carimbo azul 40 ml</t>
  </si>
  <si>
    <t xml:space="preserve">12-UNIDADE NA CAIXA </t>
  </si>
  <si>
    <t>Tinta para carimbo vermelha 40 ml</t>
  </si>
  <si>
    <t xml:space="preserve">12- UNIDADE NA CAIXA </t>
  </si>
  <si>
    <t>Tinta preta para carimbo numerador</t>
  </si>
  <si>
    <t>Visor para pasta suspensa</t>
  </si>
  <si>
    <t>50-UNIDADE</t>
  </si>
  <si>
    <t>Xícara c/ pires para café</t>
  </si>
  <si>
    <t>Barbante</t>
  </si>
  <si>
    <t>Apagador para quadro branco</t>
  </si>
  <si>
    <t>Clips número 3</t>
  </si>
  <si>
    <t xml:space="preserve">30 - UNIDADE NA EMBALAGEM </t>
  </si>
  <si>
    <t>Bule para café alumínio 3 litros</t>
  </si>
  <si>
    <t>NÃO TEMOS O BEM EM ESTOQUE E NA INTERNET NÃO CONSTA A PROFUNDIDADE, SENDO ASSIM, NÃO TEM COMO MEDIR O METRO CUBICO. ADEMAIS, NÃO VAMOS FORNECER O DE 3 LITROS MAIS, APENAS DE 7.</t>
  </si>
  <si>
    <t>As cadeiras tarjadas em amarelo foram medidas considerando do chão ao assento/braço e do chão ao encosto.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</si>
</sst>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5E0B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/>
    <xf numFmtId="0" fontId="3" fillId="0" borderId="1" xfId="0" applyFont="1" applyBorder="1"/>
    <xf numFmtId="0" fontId="6" fillId="0" borderId="1" xfId="0" applyFont="1" applyBorder="1" applyAlignment="1">
      <alignment readingOrder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7" borderId="0" xfId="0" applyFont="1" applyFill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o Explicativo" xfId="20"/>
  </cellStyles>
  <dxfs count="24">
    <dxf>
      <alignment horizontal="center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Arial"/>
        <color rgb="FF000000"/>
        <condense val="0"/>
        <extend val="0"/>
      </font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Arial"/>
        <color rgb="FF000000"/>
        <condense val="0"/>
        <extend val="0"/>
      </font>
      <alignment horizontal="right" vertical="center" textRotation="0" wrapText="1" shrinkToFit="1" readingOrder="0"/>
      <border>
        <left/>
        <right/>
        <top/>
        <bottom style="thin"/>
        <vertical/>
        <horizontal/>
      </border>
    </dxf>
    <dxf>
      <font>
        <b val="0"/>
        <i val="0"/>
        <u val="none"/>
        <strike val="0"/>
        <sz val="11"/>
        <name val="Arial"/>
        <color rgb="FF000000"/>
        <condense val="0"/>
        <extend val="0"/>
      </font>
      <alignment horizontal="general" vertical="bottom" textRotation="0" wrapText="1" shrinkToFit="1" readingOrder="0"/>
      <border>
        <left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1"/>
        <name val="Arial"/>
        <color rgb="FF000000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</dxf>
    <dxf>
      <fill>
        <patternFill patternType="none"/>
      </fill>
    </dxf>
    <dxf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2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3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4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5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6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7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9525000" cy="9525000"/>
    <xdr:sp macro="" textlink="">
      <xdr:nvSpPr>
        <xdr:cNvPr id="8" name="CustomShape 1" hidden="1"/>
        <xdr:cNvSpPr/>
      </xdr:nvSpPr>
      <xdr:spPr>
        <a:xfrm>
          <a:off x="0" y="238125"/>
          <a:ext cx="9525000" cy="9525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1</xdr:row>
      <xdr:rowOff>0</xdr:rowOff>
    </xdr:from>
    <xdr:ext cx="8505825" cy="8181975"/>
    <xdr:sp macro="" textlink="">
      <xdr:nvSpPr>
        <xdr:cNvPr id="9" name="CustomShape 1" hidden="1"/>
        <xdr:cNvSpPr/>
      </xdr:nvSpPr>
      <xdr:spPr>
        <a:xfrm>
          <a:off x="0" y="238125"/>
          <a:ext cx="8505825" cy="81819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tables/table1.xml><?xml version="1.0" encoding="utf-8"?>
<table xmlns="http://schemas.openxmlformats.org/spreadsheetml/2006/main" id="1" name="Tabela1" displayName="Tabela1" ref="A2:J94" totalsRowShown="0" dataDxfId="22" tableBorderDxfId="21" headerRowBorderDxfId="23">
  <autoFilter ref="A2:J94"/>
  <tableColumns count="10">
    <tableColumn id="1" name="Descrição dos bens" dataDxfId="20"/>
    <tableColumn id="2" name="Código" dataDxfId="19"/>
    <tableColumn id="3" name="Peso (gramas)" dataDxfId="18">
      <calculatedColumnFormula>SUM(D3*1000)</calculatedColumnFormula>
    </tableColumn>
    <tableColumn id="4" name="Peso (Kg)" dataDxfId="17"/>
    <tableColumn id="5" name="ALTURA (m)" dataDxfId="16"/>
    <tableColumn id="6" name="LARGURA (m)" dataDxfId="15"/>
    <tableColumn id="7" name="PROFUNDIDADE (m)" dataDxfId="14"/>
    <tableColumn id="8" name="VOLUME ESTIMADO_x000A_ EM M³ " dataDxfId="13">
      <calculatedColumnFormula>E3*G3*F3</calculatedColumnFormula>
    </tableColumn>
    <tableColumn id="9" name="COMO CHEGA NO GALPÃO (PACOTE? CAIXA? FARDO?)" dataDxfId="12"/>
    <tableColumn id="10" name="OBSERVAÇÃO" dataDxfId="1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96:J253" totalsRowShown="0" tableBorderDxfId="10">
  <autoFilter ref="A96:J253"/>
  <tableColumns count="10">
    <tableColumn id="1" name="Descrição dos bens" dataDxfId="9"/>
    <tableColumn id="2" name="Código" dataDxfId="8"/>
    <tableColumn id="3" name="Peso (gramas)" dataDxfId="7"/>
    <tableColumn id="4" name="Peso (Kg)" dataDxfId="6"/>
    <tableColumn id="5" name="ALTURA (cm)" dataDxfId="5"/>
    <tableColumn id="6" name="LARGURA (cm)" dataDxfId="4"/>
    <tableColumn id="7" name="PROFUNDIDADE (cm)" dataDxfId="3"/>
    <tableColumn id="8" name="VOLUME ESTIMADO_x000A_ EM M³ " dataDxfId="2"/>
    <tableColumn id="9" name="COMO CHEGA NO GALPÃO (PACOTE? CAIXA? FARDO?)" dataDxfId="1"/>
    <tableColumn id="10" name="OBSERVAÇÃO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257"/>
  <sheetViews>
    <sheetView tabSelected="1" workbookViewId="0" topLeftCell="A84">
      <selection activeCell="H97" sqref="H97"/>
    </sheetView>
  </sheetViews>
  <sheetFormatPr defaultColWidth="9.140625" defaultRowHeight="15"/>
  <cols>
    <col min="1" max="1" width="50.7109375" style="1" customWidth="1"/>
    <col min="2" max="2" width="12.8515625" style="2" customWidth="1"/>
    <col min="3" max="3" width="15.57421875" style="2" customWidth="1"/>
    <col min="4" max="4" width="11.57421875" style="2" customWidth="1"/>
    <col min="5" max="5" width="16.140625" style="2" customWidth="1"/>
    <col min="6" max="6" width="21.00390625" style="2" customWidth="1"/>
    <col min="7" max="7" width="28.00390625" style="2" customWidth="1"/>
    <col min="8" max="8" width="21.57421875" style="3" customWidth="1"/>
    <col min="9" max="9" width="51.00390625" style="4" customWidth="1"/>
    <col min="10" max="10" width="34.7109375" style="4" customWidth="1"/>
    <col min="11" max="1022" width="9.140625" style="1" customWidth="1"/>
    <col min="1023" max="1025" width="8.7109375" style="0" customWidth="1"/>
  </cols>
  <sheetData>
    <row r="1" spans="1:10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5" customFormat="1" ht="40.5" customHeight="1">
      <c r="A2" s="39" t="s">
        <v>1</v>
      </c>
      <c r="B2" s="39" t="s">
        <v>2</v>
      </c>
      <c r="C2" s="39" t="s">
        <v>3</v>
      </c>
      <c r="D2" s="39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3" t="s">
        <v>9</v>
      </c>
      <c r="J2" s="54" t="s">
        <v>10</v>
      </c>
    </row>
    <row r="3" spans="1:10" ht="16.5" thickTop="1">
      <c r="A3" s="23" t="s">
        <v>11</v>
      </c>
      <c r="B3" s="24">
        <v>1653369</v>
      </c>
      <c r="C3" s="25">
        <f aca="true" t="shared" si="0" ref="C3:C34">SUM(D3*1000)</f>
        <v>400</v>
      </c>
      <c r="D3" s="25">
        <v>0.4</v>
      </c>
      <c r="E3" s="26">
        <v>0.21</v>
      </c>
      <c r="F3" s="26">
        <v>0.2</v>
      </c>
      <c r="G3" s="26">
        <v>0.06</v>
      </c>
      <c r="H3" s="26">
        <f>E3*G3*F3</f>
        <v>0.0025199999999999997</v>
      </c>
      <c r="I3" s="27" t="s">
        <v>12</v>
      </c>
      <c r="J3" s="22"/>
    </row>
    <row r="4" spans="1:10" ht="15.75">
      <c r="A4" s="23" t="s">
        <v>13</v>
      </c>
      <c r="B4" s="28">
        <v>1748653</v>
      </c>
      <c r="C4" s="25">
        <f t="shared" si="0"/>
        <v>103000</v>
      </c>
      <c r="D4" s="25">
        <v>103</v>
      </c>
      <c r="E4" s="29">
        <v>1.5</v>
      </c>
      <c r="F4" s="25">
        <v>0.9</v>
      </c>
      <c r="G4" s="25">
        <v>0.5</v>
      </c>
      <c r="H4" s="26">
        <f aca="true" t="shared" si="1" ref="H4:H34">E4*G4*F4</f>
        <v>0.675</v>
      </c>
      <c r="I4" s="27" t="s">
        <v>12</v>
      </c>
      <c r="J4" s="22"/>
    </row>
    <row r="5" spans="1:10" ht="15.75">
      <c r="A5" s="23" t="s">
        <v>14</v>
      </c>
      <c r="B5" s="24">
        <v>1036068</v>
      </c>
      <c r="C5" s="25">
        <f t="shared" si="0"/>
        <v>2800</v>
      </c>
      <c r="D5" s="25">
        <v>2.8</v>
      </c>
      <c r="E5" s="25">
        <v>0.16</v>
      </c>
      <c r="F5" s="25">
        <v>0.48</v>
      </c>
      <c r="G5" s="25">
        <v>0.26</v>
      </c>
      <c r="H5" s="26">
        <f t="shared" si="1"/>
        <v>0.019968000000000003</v>
      </c>
      <c r="I5" s="27" t="s">
        <v>12</v>
      </c>
      <c r="J5" s="22"/>
    </row>
    <row r="6" spans="1:10" ht="15.75">
      <c r="A6" s="23" t="s">
        <v>15</v>
      </c>
      <c r="B6" s="24">
        <v>1367102</v>
      </c>
      <c r="C6" s="25">
        <f t="shared" si="0"/>
        <v>49000</v>
      </c>
      <c r="D6" s="25">
        <v>49</v>
      </c>
      <c r="E6" s="26">
        <v>2</v>
      </c>
      <c r="F6" s="26">
        <v>0.91</v>
      </c>
      <c r="G6" s="26">
        <v>0.45</v>
      </c>
      <c r="H6" s="26">
        <f t="shared" si="1"/>
        <v>0.8190000000000001</v>
      </c>
      <c r="I6" s="27" t="s">
        <v>12</v>
      </c>
      <c r="J6" s="22"/>
    </row>
    <row r="7" spans="1:10" ht="15.75">
      <c r="A7" s="23" t="s">
        <v>16</v>
      </c>
      <c r="B7" s="24"/>
      <c r="C7" s="25">
        <f t="shared" si="0"/>
        <v>45000</v>
      </c>
      <c r="D7" s="25">
        <v>45</v>
      </c>
      <c r="E7" s="26">
        <v>1.75</v>
      </c>
      <c r="F7" s="26">
        <v>0.8</v>
      </c>
      <c r="G7" s="26">
        <v>0.5</v>
      </c>
      <c r="H7" s="26">
        <f t="shared" si="1"/>
        <v>0.7000000000000001</v>
      </c>
      <c r="I7" s="27" t="s">
        <v>12</v>
      </c>
      <c r="J7" s="22"/>
    </row>
    <row r="8" spans="1:10" ht="15.75">
      <c r="A8" s="23" t="s">
        <v>17</v>
      </c>
      <c r="B8" s="24"/>
      <c r="C8" s="25">
        <f t="shared" si="0"/>
        <v>41000</v>
      </c>
      <c r="D8" s="25">
        <v>41</v>
      </c>
      <c r="E8" s="26">
        <v>1.75</v>
      </c>
      <c r="F8" s="26">
        <v>0.8</v>
      </c>
      <c r="G8" s="26">
        <v>0.5</v>
      </c>
      <c r="H8" s="26">
        <f t="shared" si="1"/>
        <v>0.7000000000000001</v>
      </c>
      <c r="I8" s="27" t="s">
        <v>12</v>
      </c>
      <c r="J8" s="22"/>
    </row>
    <row r="9" spans="1:10" ht="15.75">
      <c r="A9" s="23" t="s">
        <v>18</v>
      </c>
      <c r="B9" s="24">
        <v>1367153</v>
      </c>
      <c r="C9" s="25">
        <f t="shared" si="0"/>
        <v>56200</v>
      </c>
      <c r="D9" s="25">
        <v>56.2</v>
      </c>
      <c r="E9" s="26">
        <v>1.34</v>
      </c>
      <c r="F9" s="26">
        <v>0.48</v>
      </c>
      <c r="G9" s="26">
        <v>0.71</v>
      </c>
      <c r="H9" s="26">
        <f t="shared" si="1"/>
        <v>0.45667199999999997</v>
      </c>
      <c r="I9" s="27" t="s">
        <v>12</v>
      </c>
      <c r="J9" s="22"/>
    </row>
    <row r="10" spans="1:10" ht="15.75">
      <c r="A10" s="23" t="s">
        <v>19</v>
      </c>
      <c r="B10" s="24">
        <v>1368311</v>
      </c>
      <c r="C10" s="25">
        <f t="shared" si="0"/>
        <v>10500</v>
      </c>
      <c r="D10" s="25">
        <v>10.5</v>
      </c>
      <c r="E10" s="25">
        <v>1</v>
      </c>
      <c r="F10" s="25">
        <v>0.32</v>
      </c>
      <c r="G10" s="25">
        <v>0.29</v>
      </c>
      <c r="H10" s="26">
        <f t="shared" si="1"/>
        <v>0.0928</v>
      </c>
      <c r="I10" s="27" t="s">
        <v>12</v>
      </c>
      <c r="J10" s="22"/>
    </row>
    <row r="11" spans="1:10" ht="15.75">
      <c r="A11" s="23" t="s">
        <v>20</v>
      </c>
      <c r="B11" s="24">
        <v>1368320</v>
      </c>
      <c r="C11" s="25">
        <f t="shared" si="0"/>
        <v>16000</v>
      </c>
      <c r="D11" s="25">
        <v>16</v>
      </c>
      <c r="E11" s="25">
        <v>0.45</v>
      </c>
      <c r="F11" s="25">
        <v>0.52</v>
      </c>
      <c r="G11" s="25">
        <v>0.5</v>
      </c>
      <c r="H11" s="26">
        <f t="shared" si="1"/>
        <v>0.117</v>
      </c>
      <c r="I11" s="27" t="s">
        <v>12</v>
      </c>
      <c r="J11" s="22"/>
    </row>
    <row r="12" spans="1:10" ht="15.75">
      <c r="A12" s="23" t="s">
        <v>21</v>
      </c>
      <c r="B12" s="24">
        <v>1358685</v>
      </c>
      <c r="C12" s="25">
        <f t="shared" si="0"/>
        <v>10000</v>
      </c>
      <c r="D12" s="25">
        <v>10</v>
      </c>
      <c r="E12" s="25">
        <v>1</v>
      </c>
      <c r="F12" s="25">
        <v>0.37</v>
      </c>
      <c r="G12" s="25">
        <v>0.29</v>
      </c>
      <c r="H12" s="26">
        <f t="shared" si="1"/>
        <v>0.10729999999999999</v>
      </c>
      <c r="I12" s="27" t="s">
        <v>12</v>
      </c>
      <c r="J12" s="22"/>
    </row>
    <row r="13" spans="1:1024" s="1" customFormat="1" ht="15.75">
      <c r="A13" s="23" t="s">
        <v>22</v>
      </c>
      <c r="B13" s="24">
        <v>1766074</v>
      </c>
      <c r="C13" s="25">
        <f t="shared" si="0"/>
        <v>17500</v>
      </c>
      <c r="D13" s="25">
        <v>17.5</v>
      </c>
      <c r="E13" s="26">
        <v>0.61</v>
      </c>
      <c r="F13" s="26">
        <v>0.61</v>
      </c>
      <c r="G13" s="26">
        <v>0.6</v>
      </c>
      <c r="H13" s="26">
        <f t="shared" si="1"/>
        <v>0.22326</v>
      </c>
      <c r="I13" s="27" t="s">
        <v>12</v>
      </c>
      <c r="J13" s="22"/>
      <c r="AMI13"/>
      <c r="AMJ13"/>
    </row>
    <row r="14" spans="1:1024" s="1" customFormat="1" ht="15.75">
      <c r="A14" s="23" t="s">
        <v>23</v>
      </c>
      <c r="B14" s="24">
        <v>1366955</v>
      </c>
      <c r="C14" s="25">
        <f t="shared" si="0"/>
        <v>6600</v>
      </c>
      <c r="D14" s="25">
        <v>6.6</v>
      </c>
      <c r="E14" s="26">
        <v>0.5</v>
      </c>
      <c r="F14" s="26">
        <v>0.48</v>
      </c>
      <c r="G14" s="26">
        <v>0.52</v>
      </c>
      <c r="H14" s="26">
        <f t="shared" si="1"/>
        <v>0.1248</v>
      </c>
      <c r="I14" s="27" t="s">
        <v>12</v>
      </c>
      <c r="J14" s="22"/>
      <c r="AMI14"/>
      <c r="AMJ14"/>
    </row>
    <row r="15" spans="1:1024" s="1" customFormat="1" ht="15.75">
      <c r="A15" s="23" t="s">
        <v>24</v>
      </c>
      <c r="B15" s="24">
        <v>1651080</v>
      </c>
      <c r="C15" s="25">
        <f t="shared" si="0"/>
        <v>16000</v>
      </c>
      <c r="D15" s="25">
        <v>16</v>
      </c>
      <c r="E15" s="26">
        <v>0.61</v>
      </c>
      <c r="F15" s="26">
        <v>0.59</v>
      </c>
      <c r="G15" s="26">
        <v>0.55</v>
      </c>
      <c r="H15" s="26">
        <f t="shared" si="1"/>
        <v>0.197945</v>
      </c>
      <c r="I15" s="27" t="s">
        <v>12</v>
      </c>
      <c r="J15" s="22"/>
      <c r="AMI15"/>
      <c r="AMJ15"/>
    </row>
    <row r="16" spans="1:1024" s="1" customFormat="1" ht="15.75">
      <c r="A16" s="23" t="s">
        <v>25</v>
      </c>
      <c r="B16" s="24">
        <v>1713973</v>
      </c>
      <c r="C16" s="25">
        <f t="shared" si="0"/>
        <v>3300</v>
      </c>
      <c r="D16" s="25">
        <v>3.3</v>
      </c>
      <c r="E16" s="26">
        <v>0.45</v>
      </c>
      <c r="F16" s="26">
        <v>0.42</v>
      </c>
      <c r="G16" s="26">
        <v>0.42</v>
      </c>
      <c r="H16" s="26">
        <f t="shared" si="1"/>
        <v>0.07937999999999999</v>
      </c>
      <c r="I16" s="27" t="s">
        <v>12</v>
      </c>
      <c r="J16" s="22"/>
      <c r="AMI16"/>
      <c r="AMJ16"/>
    </row>
    <row r="17" spans="1:1024" s="1" customFormat="1" ht="15.75">
      <c r="A17" s="23" t="s">
        <v>26</v>
      </c>
      <c r="B17" s="30">
        <v>1367048</v>
      </c>
      <c r="C17" s="25">
        <f t="shared" si="0"/>
        <v>5400</v>
      </c>
      <c r="D17" s="25">
        <v>5.4</v>
      </c>
      <c r="E17" s="26">
        <v>0.46</v>
      </c>
      <c r="F17" s="26">
        <v>0.49</v>
      </c>
      <c r="G17" s="26">
        <v>0.45</v>
      </c>
      <c r="H17" s="26">
        <f t="shared" si="1"/>
        <v>0.10143</v>
      </c>
      <c r="I17" s="27" t="s">
        <v>12</v>
      </c>
      <c r="J17" s="22"/>
      <c r="AMI17"/>
      <c r="AMJ17"/>
    </row>
    <row r="18" spans="1:1024" s="1" customFormat="1" ht="15.75">
      <c r="A18" s="23" t="s">
        <v>27</v>
      </c>
      <c r="B18" s="24">
        <v>1546139</v>
      </c>
      <c r="C18" s="25">
        <f t="shared" si="0"/>
        <v>11800</v>
      </c>
      <c r="D18" s="25">
        <v>11.8</v>
      </c>
      <c r="E18" s="25">
        <v>0.68</v>
      </c>
      <c r="F18" s="25">
        <v>0.47</v>
      </c>
      <c r="G18" s="25">
        <v>0.56</v>
      </c>
      <c r="H18" s="26">
        <f t="shared" si="1"/>
        <v>0.17897600000000002</v>
      </c>
      <c r="I18" s="27" t="s">
        <v>12</v>
      </c>
      <c r="J18" s="22"/>
      <c r="AMI18"/>
      <c r="AMJ18"/>
    </row>
    <row r="19" spans="1:10" ht="15.75">
      <c r="A19" s="23" t="s">
        <v>28</v>
      </c>
      <c r="B19" s="24">
        <v>106720</v>
      </c>
      <c r="C19" s="25">
        <f t="shared" si="0"/>
        <v>21000</v>
      </c>
      <c r="D19" s="25">
        <v>21</v>
      </c>
      <c r="E19" s="25">
        <v>1.5</v>
      </c>
      <c r="F19" s="25">
        <v>0.44</v>
      </c>
      <c r="G19" s="25">
        <v>0.67</v>
      </c>
      <c r="H19" s="26">
        <f t="shared" si="1"/>
        <v>0.44220000000000004</v>
      </c>
      <c r="I19" s="27" t="s">
        <v>12</v>
      </c>
      <c r="J19" s="22"/>
    </row>
    <row r="20" spans="1:10" ht="15.75">
      <c r="A20" s="23" t="s">
        <v>29</v>
      </c>
      <c r="B20" s="24">
        <v>1691775</v>
      </c>
      <c r="C20" s="25">
        <f t="shared" si="0"/>
        <v>3000</v>
      </c>
      <c r="D20" s="25">
        <v>3</v>
      </c>
      <c r="E20" s="26">
        <v>0.97</v>
      </c>
      <c r="F20" s="26">
        <v>0.38</v>
      </c>
      <c r="G20" s="26">
        <v>0.45</v>
      </c>
      <c r="H20" s="26">
        <f t="shared" si="1"/>
        <v>0.16587</v>
      </c>
      <c r="I20" s="27" t="s">
        <v>12</v>
      </c>
      <c r="J20" s="22"/>
    </row>
    <row r="21" spans="1:10" ht="15.75">
      <c r="A21" s="23" t="s">
        <v>30</v>
      </c>
      <c r="B21" s="24">
        <v>616915</v>
      </c>
      <c r="C21" s="25">
        <f t="shared" si="0"/>
        <v>11000</v>
      </c>
      <c r="D21" s="25">
        <v>11</v>
      </c>
      <c r="E21" s="25">
        <v>1</v>
      </c>
      <c r="F21" s="25">
        <v>0.47</v>
      </c>
      <c r="G21" s="25">
        <v>0.78</v>
      </c>
      <c r="H21" s="26">
        <f t="shared" si="1"/>
        <v>0.3666</v>
      </c>
      <c r="I21" s="27" t="s">
        <v>12</v>
      </c>
      <c r="J21" s="22"/>
    </row>
    <row r="22" spans="1:10" ht="15.75">
      <c r="A22" s="23" t="s">
        <v>31</v>
      </c>
      <c r="B22" s="24">
        <v>1606344</v>
      </c>
      <c r="C22" s="25">
        <f t="shared" si="0"/>
        <v>26000</v>
      </c>
      <c r="D22" s="25">
        <v>26</v>
      </c>
      <c r="E22" s="25">
        <v>1.05</v>
      </c>
      <c r="F22" s="25">
        <v>0.6</v>
      </c>
      <c r="G22" s="25">
        <v>0.95</v>
      </c>
      <c r="H22" s="26">
        <f t="shared" si="1"/>
        <v>0.5984999999999999</v>
      </c>
      <c r="I22" s="27" t="s">
        <v>12</v>
      </c>
      <c r="J22" s="22"/>
    </row>
    <row r="23" spans="1:10" ht="15.75">
      <c r="A23" s="23" t="s">
        <v>32</v>
      </c>
      <c r="B23" s="24">
        <v>1442082</v>
      </c>
      <c r="C23" s="25">
        <f t="shared" si="0"/>
        <v>5100</v>
      </c>
      <c r="D23" s="25">
        <v>5.1</v>
      </c>
      <c r="E23" s="25">
        <v>0.58</v>
      </c>
      <c r="F23" s="25">
        <v>0.58</v>
      </c>
      <c r="G23" s="25">
        <v>0.25</v>
      </c>
      <c r="H23" s="26">
        <f t="shared" si="1"/>
        <v>0.0841</v>
      </c>
      <c r="I23" s="27" t="s">
        <v>12</v>
      </c>
      <c r="J23" s="22"/>
    </row>
    <row r="24" spans="1:10" ht="15.75">
      <c r="A24" s="23" t="s">
        <v>33</v>
      </c>
      <c r="B24" s="24" t="s">
        <v>34</v>
      </c>
      <c r="C24" s="25">
        <f t="shared" si="0"/>
        <v>4000</v>
      </c>
      <c r="D24" s="25">
        <v>4</v>
      </c>
      <c r="E24" s="25">
        <v>0.18</v>
      </c>
      <c r="F24" s="25">
        <v>0.25</v>
      </c>
      <c r="G24" s="25">
        <v>0.8</v>
      </c>
      <c r="H24" s="26">
        <f t="shared" si="1"/>
        <v>0.036</v>
      </c>
      <c r="I24" s="27" t="s">
        <v>12</v>
      </c>
      <c r="J24" s="31" t="s">
        <v>35</v>
      </c>
    </row>
    <row r="25" spans="1:10" ht="15.75">
      <c r="A25" s="23" t="s">
        <v>36</v>
      </c>
      <c r="B25" s="30" t="s">
        <v>37</v>
      </c>
      <c r="C25" s="25">
        <f t="shared" si="0"/>
        <v>5000</v>
      </c>
      <c r="D25" s="25">
        <v>5</v>
      </c>
      <c r="E25" s="25">
        <v>0.41</v>
      </c>
      <c r="F25" s="25">
        <v>0.4</v>
      </c>
      <c r="G25" s="25">
        <v>0.8</v>
      </c>
      <c r="H25" s="26">
        <f t="shared" si="1"/>
        <v>0.1312</v>
      </c>
      <c r="I25" s="27" t="s">
        <v>12</v>
      </c>
      <c r="J25" s="31" t="s">
        <v>35</v>
      </c>
    </row>
    <row r="26" spans="1:10" ht="15.75">
      <c r="A26" s="23" t="s">
        <v>38</v>
      </c>
      <c r="B26" s="30">
        <v>868256</v>
      </c>
      <c r="C26" s="25">
        <f t="shared" si="0"/>
        <v>5000</v>
      </c>
      <c r="D26" s="25">
        <v>5</v>
      </c>
      <c r="E26" s="26">
        <v>0.6</v>
      </c>
      <c r="F26" s="26">
        <v>0.3</v>
      </c>
      <c r="G26" s="26">
        <v>0.34</v>
      </c>
      <c r="H26" s="26">
        <f t="shared" si="1"/>
        <v>0.061200000000000004</v>
      </c>
      <c r="I26" s="27" t="s">
        <v>12</v>
      </c>
      <c r="J26" s="22"/>
    </row>
    <row r="27" spans="1:10" ht="15.75">
      <c r="A27" s="23" t="s">
        <v>39</v>
      </c>
      <c r="B27" s="30" t="s">
        <v>40</v>
      </c>
      <c r="C27" s="25">
        <f t="shared" si="0"/>
        <v>10000</v>
      </c>
      <c r="D27" s="25">
        <v>10</v>
      </c>
      <c r="E27" s="25">
        <v>0.72</v>
      </c>
      <c r="F27" s="25">
        <v>0.41</v>
      </c>
      <c r="G27" s="25">
        <v>0.42</v>
      </c>
      <c r="H27" s="26">
        <f t="shared" si="1"/>
        <v>0.123984</v>
      </c>
      <c r="I27" s="27" t="s">
        <v>12</v>
      </c>
      <c r="J27" s="31" t="s">
        <v>35</v>
      </c>
    </row>
    <row r="28" spans="1:10" ht="15.75">
      <c r="A28" s="23" t="s">
        <v>41</v>
      </c>
      <c r="B28" s="30">
        <v>1807307</v>
      </c>
      <c r="C28" s="25">
        <f t="shared" si="0"/>
        <v>8000</v>
      </c>
      <c r="D28" s="25">
        <v>8</v>
      </c>
      <c r="E28" s="25">
        <v>0.76</v>
      </c>
      <c r="F28" s="25">
        <v>0.58</v>
      </c>
      <c r="G28" s="25">
        <v>0.58</v>
      </c>
      <c r="H28" s="26">
        <f t="shared" si="1"/>
        <v>0.25566399999999995</v>
      </c>
      <c r="I28" s="27" t="s">
        <v>12</v>
      </c>
      <c r="J28" s="31" t="s">
        <v>35</v>
      </c>
    </row>
    <row r="29" spans="1:10" ht="15.75">
      <c r="A29" s="23" t="s">
        <v>42</v>
      </c>
      <c r="B29" s="30">
        <v>1807315</v>
      </c>
      <c r="C29" s="25">
        <f t="shared" si="0"/>
        <v>13000</v>
      </c>
      <c r="D29" s="25">
        <v>13</v>
      </c>
      <c r="E29" s="25">
        <v>0.95</v>
      </c>
      <c r="F29" s="25">
        <v>0.57</v>
      </c>
      <c r="G29" s="25">
        <v>0.55</v>
      </c>
      <c r="H29" s="26">
        <f t="shared" si="1"/>
        <v>0.29782499999999995</v>
      </c>
      <c r="I29" s="27" t="s">
        <v>12</v>
      </c>
      <c r="J29" s="31" t="s">
        <v>35</v>
      </c>
    </row>
    <row r="30" spans="1:10" ht="15.75">
      <c r="A30" s="23" t="s">
        <v>43</v>
      </c>
      <c r="B30" s="24">
        <v>1512102</v>
      </c>
      <c r="C30" s="25">
        <f t="shared" si="0"/>
        <v>25000</v>
      </c>
      <c r="D30" s="25">
        <v>25</v>
      </c>
      <c r="E30" s="25">
        <v>0.8</v>
      </c>
      <c r="F30" s="25">
        <v>0.9</v>
      </c>
      <c r="G30" s="25">
        <v>0.32</v>
      </c>
      <c r="H30" s="26">
        <f t="shared" si="1"/>
        <v>0.23040000000000002</v>
      </c>
      <c r="I30" s="27" t="s">
        <v>12</v>
      </c>
      <c r="J30" s="22"/>
    </row>
    <row r="31" spans="1:10" ht="15.75">
      <c r="A31" s="23" t="s">
        <v>44</v>
      </c>
      <c r="B31" s="24">
        <v>1390295</v>
      </c>
      <c r="C31" s="25">
        <f t="shared" si="0"/>
        <v>80000</v>
      </c>
      <c r="D31" s="25">
        <v>80</v>
      </c>
      <c r="E31" s="25">
        <v>2</v>
      </c>
      <c r="F31" s="25">
        <v>1.2</v>
      </c>
      <c r="G31" s="25">
        <v>0.42</v>
      </c>
      <c r="H31" s="26">
        <f t="shared" si="1"/>
        <v>1.008</v>
      </c>
      <c r="I31" s="27" t="s">
        <v>12</v>
      </c>
      <c r="J31" s="22"/>
    </row>
    <row r="32" spans="1:10" ht="15.75">
      <c r="A32" s="23" t="s">
        <v>45</v>
      </c>
      <c r="B32" s="24">
        <v>1367161</v>
      </c>
      <c r="C32" s="25">
        <f t="shared" si="0"/>
        <v>30500</v>
      </c>
      <c r="D32" s="25">
        <v>30.5</v>
      </c>
      <c r="E32" s="26">
        <v>1.98</v>
      </c>
      <c r="F32" s="26">
        <v>0.95</v>
      </c>
      <c r="G32" s="26">
        <v>0.32</v>
      </c>
      <c r="H32" s="26">
        <f t="shared" si="1"/>
        <v>0.60192</v>
      </c>
      <c r="I32" s="27" t="s">
        <v>12</v>
      </c>
      <c r="J32" s="22"/>
    </row>
    <row r="33" spans="1:10" ht="15.75">
      <c r="A33" s="23" t="s">
        <v>46</v>
      </c>
      <c r="B33" s="24"/>
      <c r="C33" s="25">
        <f t="shared" si="0"/>
        <v>32000</v>
      </c>
      <c r="D33" s="25">
        <v>32</v>
      </c>
      <c r="E33" s="26">
        <v>1.74</v>
      </c>
      <c r="F33" s="26">
        <v>0.8</v>
      </c>
      <c r="G33" s="26">
        <v>0.4</v>
      </c>
      <c r="H33" s="26">
        <f t="shared" si="1"/>
        <v>0.5568000000000001</v>
      </c>
      <c r="I33" s="27" t="s">
        <v>12</v>
      </c>
      <c r="J33" s="22"/>
    </row>
    <row r="34" spans="1:10" ht="15.75">
      <c r="A34" s="23" t="s">
        <v>47</v>
      </c>
      <c r="B34" s="24">
        <v>875759</v>
      </c>
      <c r="C34" s="25">
        <f t="shared" si="0"/>
        <v>20000</v>
      </c>
      <c r="D34" s="25">
        <v>20</v>
      </c>
      <c r="E34" s="26">
        <v>0.88</v>
      </c>
      <c r="F34" s="26">
        <v>0.59</v>
      </c>
      <c r="G34" s="26">
        <v>0.5</v>
      </c>
      <c r="H34" s="26">
        <f t="shared" si="1"/>
        <v>0.2596</v>
      </c>
      <c r="I34" s="27" t="s">
        <v>12</v>
      </c>
      <c r="J34" s="22"/>
    </row>
    <row r="35" spans="1:10" ht="15.75">
      <c r="A35" s="23" t="s">
        <v>48</v>
      </c>
      <c r="B35" s="24">
        <v>1670867</v>
      </c>
      <c r="C35" s="25">
        <f aca="true" t="shared" si="2" ref="C35:C66">SUM(D35*1000)</f>
        <v>500</v>
      </c>
      <c r="D35" s="25">
        <v>0.5</v>
      </c>
      <c r="E35" s="25">
        <v>0.24</v>
      </c>
      <c r="F35" s="25">
        <v>0.23</v>
      </c>
      <c r="G35" s="25">
        <v>0.11</v>
      </c>
      <c r="H35" s="26">
        <f aca="true" t="shared" si="3" ref="H35:H66">E35*G35*F35</f>
        <v>0.006072</v>
      </c>
      <c r="I35" s="27" t="s">
        <v>12</v>
      </c>
      <c r="J35" s="31" t="s">
        <v>35</v>
      </c>
    </row>
    <row r="36" spans="1:10" ht="15.75">
      <c r="A36" s="23" t="s">
        <v>49</v>
      </c>
      <c r="B36" s="24">
        <v>1609467</v>
      </c>
      <c r="C36" s="25">
        <f t="shared" si="2"/>
        <v>6200</v>
      </c>
      <c r="D36" s="25">
        <v>6.2</v>
      </c>
      <c r="E36" s="26">
        <v>0.48</v>
      </c>
      <c r="F36" s="26">
        <v>0.4</v>
      </c>
      <c r="G36" s="26">
        <v>0.27</v>
      </c>
      <c r="H36" s="26">
        <f t="shared" si="3"/>
        <v>0.05184</v>
      </c>
      <c r="I36" s="27" t="s">
        <v>12</v>
      </c>
      <c r="J36" s="22"/>
    </row>
    <row r="37" spans="1:10" ht="15.75">
      <c r="A37" s="23" t="s">
        <v>50</v>
      </c>
      <c r="B37" s="24">
        <v>1713787</v>
      </c>
      <c r="C37" s="25">
        <f t="shared" si="2"/>
        <v>30000</v>
      </c>
      <c r="D37" s="25">
        <v>30</v>
      </c>
      <c r="E37" s="25">
        <v>0.69</v>
      </c>
      <c r="F37" s="25">
        <v>0.4</v>
      </c>
      <c r="G37" s="25">
        <v>0.5</v>
      </c>
      <c r="H37" s="26">
        <f t="shared" si="3"/>
        <v>0.13799999999999998</v>
      </c>
      <c r="I37" s="27" t="s">
        <v>12</v>
      </c>
      <c r="J37" s="22"/>
    </row>
    <row r="38" spans="1:10" ht="15.75">
      <c r="A38" s="23" t="s">
        <v>51</v>
      </c>
      <c r="B38" s="24">
        <v>1605070</v>
      </c>
      <c r="C38" s="25">
        <f t="shared" si="2"/>
        <v>500</v>
      </c>
      <c r="D38" s="25">
        <v>0.5</v>
      </c>
      <c r="E38" s="26">
        <v>0.22</v>
      </c>
      <c r="F38" s="26">
        <v>0.13</v>
      </c>
      <c r="G38" s="26">
        <v>0.11</v>
      </c>
      <c r="H38" s="26">
        <f t="shared" si="3"/>
        <v>0.003146</v>
      </c>
      <c r="I38" s="27" t="s">
        <v>12</v>
      </c>
      <c r="J38" s="22"/>
    </row>
    <row r="39" spans="1:10" ht="15.75">
      <c r="A39" s="23" t="s">
        <v>52</v>
      </c>
      <c r="B39" s="24">
        <v>1366939</v>
      </c>
      <c r="C39" s="25">
        <f t="shared" si="2"/>
        <v>14700</v>
      </c>
      <c r="D39" s="25">
        <v>14.7</v>
      </c>
      <c r="E39" s="25">
        <v>0.9</v>
      </c>
      <c r="F39" s="25">
        <v>1.1</v>
      </c>
      <c r="G39" s="25">
        <v>0.52</v>
      </c>
      <c r="H39" s="26">
        <f t="shared" si="3"/>
        <v>0.5148</v>
      </c>
      <c r="I39" s="27" t="s">
        <v>12</v>
      </c>
      <c r="J39" s="22"/>
    </row>
    <row r="40" spans="1:10" ht="15.75">
      <c r="A40" s="23" t="s">
        <v>53</v>
      </c>
      <c r="B40" s="24">
        <v>1366947</v>
      </c>
      <c r="C40" s="25">
        <f t="shared" si="2"/>
        <v>23800</v>
      </c>
      <c r="D40" s="25">
        <v>23.8</v>
      </c>
      <c r="E40" s="26">
        <v>0.9</v>
      </c>
      <c r="F40" s="26">
        <v>1.58</v>
      </c>
      <c r="G40" s="26">
        <v>0.52</v>
      </c>
      <c r="H40" s="26">
        <f t="shared" si="3"/>
        <v>0.7394400000000001</v>
      </c>
      <c r="I40" s="27" t="s">
        <v>12</v>
      </c>
      <c r="J40" s="22"/>
    </row>
    <row r="41" spans="1:10" ht="15.75">
      <c r="A41" s="23" t="s">
        <v>54</v>
      </c>
      <c r="B41" s="24">
        <v>1719866</v>
      </c>
      <c r="C41" s="25">
        <f t="shared" si="2"/>
        <v>6000</v>
      </c>
      <c r="D41" s="25">
        <v>6</v>
      </c>
      <c r="E41" s="25">
        <v>0.64</v>
      </c>
      <c r="F41" s="25">
        <v>0.38</v>
      </c>
      <c r="G41" s="25">
        <v>0.3</v>
      </c>
      <c r="H41" s="26">
        <f t="shared" si="3"/>
        <v>0.07296</v>
      </c>
      <c r="I41" s="27" t="s">
        <v>12</v>
      </c>
      <c r="J41" s="22"/>
    </row>
    <row r="42" spans="1:10" ht="15.75">
      <c r="A42" s="23" t="s">
        <v>55</v>
      </c>
      <c r="B42" s="24">
        <v>1742990</v>
      </c>
      <c r="C42" s="25">
        <f t="shared" si="2"/>
        <v>9000</v>
      </c>
      <c r="D42" s="25">
        <v>9</v>
      </c>
      <c r="E42" s="25">
        <v>0.82</v>
      </c>
      <c r="F42" s="25">
        <v>0.52</v>
      </c>
      <c r="G42" s="25">
        <v>0.5</v>
      </c>
      <c r="H42" s="26">
        <f t="shared" si="3"/>
        <v>0.2132</v>
      </c>
      <c r="I42" s="27" t="s">
        <v>12</v>
      </c>
      <c r="J42" s="22"/>
    </row>
    <row r="43" spans="1:10" ht="15.75">
      <c r="A43" s="23" t="s">
        <v>56</v>
      </c>
      <c r="B43" s="24">
        <v>838179</v>
      </c>
      <c r="C43" s="25">
        <f t="shared" si="2"/>
        <v>5000</v>
      </c>
      <c r="D43" s="25">
        <v>5</v>
      </c>
      <c r="E43" s="25">
        <v>0.25</v>
      </c>
      <c r="F43" s="25">
        <v>0.26</v>
      </c>
      <c r="G43" s="25">
        <v>0.27</v>
      </c>
      <c r="H43" s="26">
        <f t="shared" si="3"/>
        <v>0.017550000000000003</v>
      </c>
      <c r="I43" s="27" t="s">
        <v>12</v>
      </c>
      <c r="J43" s="22"/>
    </row>
    <row r="44" spans="1:10" ht="15.75">
      <c r="A44" s="23" t="s">
        <v>57</v>
      </c>
      <c r="B44" s="24"/>
      <c r="C44" s="25">
        <f t="shared" si="2"/>
        <v>37000</v>
      </c>
      <c r="D44" s="25">
        <v>37</v>
      </c>
      <c r="E44" s="25">
        <v>0.75</v>
      </c>
      <c r="F44" s="25">
        <v>1.4</v>
      </c>
      <c r="G44" s="25">
        <v>0.6</v>
      </c>
      <c r="H44" s="26">
        <f t="shared" si="3"/>
        <v>0.6299999999999999</v>
      </c>
      <c r="I44" s="27" t="s">
        <v>12</v>
      </c>
      <c r="J44" s="22"/>
    </row>
    <row r="45" spans="1:10" ht="15.75">
      <c r="A45" s="23" t="s">
        <v>58</v>
      </c>
      <c r="B45" s="24">
        <v>1366904</v>
      </c>
      <c r="C45" s="25">
        <f t="shared" si="2"/>
        <v>37000</v>
      </c>
      <c r="D45" s="25">
        <v>37</v>
      </c>
      <c r="E45" s="25">
        <v>0.73</v>
      </c>
      <c r="F45" s="25">
        <v>1.66</v>
      </c>
      <c r="G45" s="25">
        <v>0.76</v>
      </c>
      <c r="H45" s="26">
        <f t="shared" si="3"/>
        <v>0.9209679999999999</v>
      </c>
      <c r="I45" s="27" t="s">
        <v>12</v>
      </c>
      <c r="J45" s="22"/>
    </row>
    <row r="46" spans="1:10" ht="15.75">
      <c r="A46" s="23" t="s">
        <v>59</v>
      </c>
      <c r="B46" s="24">
        <v>1367170</v>
      </c>
      <c r="C46" s="25">
        <f t="shared" si="2"/>
        <v>41000</v>
      </c>
      <c r="D46" s="25">
        <v>41</v>
      </c>
      <c r="E46" s="26">
        <v>0.75</v>
      </c>
      <c r="F46" s="26">
        <v>1.27</v>
      </c>
      <c r="G46" s="26">
        <v>0.7</v>
      </c>
      <c r="H46" s="26">
        <f t="shared" si="3"/>
        <v>0.6667499999999998</v>
      </c>
      <c r="I46" s="27" t="s">
        <v>12</v>
      </c>
      <c r="J46" s="22"/>
    </row>
    <row r="47" spans="1:10" ht="15.75">
      <c r="A47" s="23" t="s">
        <v>60</v>
      </c>
      <c r="B47" s="24">
        <v>1366890</v>
      </c>
      <c r="C47" s="25">
        <f t="shared" si="2"/>
        <v>8600</v>
      </c>
      <c r="D47" s="25">
        <v>8.6</v>
      </c>
      <c r="E47" s="26">
        <v>0.7</v>
      </c>
      <c r="F47" s="26">
        <v>0.72</v>
      </c>
      <c r="G47" s="26">
        <v>0.63</v>
      </c>
      <c r="H47" s="26">
        <f t="shared" si="3"/>
        <v>0.31751999999999997</v>
      </c>
      <c r="I47" s="27" t="s">
        <v>12</v>
      </c>
      <c r="J47" s="22"/>
    </row>
    <row r="48" spans="1:10" ht="15.75">
      <c r="A48" s="23" t="s">
        <v>61</v>
      </c>
      <c r="B48" s="24">
        <v>1367056</v>
      </c>
      <c r="C48" s="25">
        <f t="shared" si="2"/>
        <v>21000</v>
      </c>
      <c r="D48" s="25">
        <v>21</v>
      </c>
      <c r="E48" s="26">
        <v>0.68</v>
      </c>
      <c r="F48" s="26">
        <v>1.2</v>
      </c>
      <c r="G48" s="26">
        <v>0.7</v>
      </c>
      <c r="H48" s="26">
        <f t="shared" si="3"/>
        <v>0.5711999999999999</v>
      </c>
      <c r="I48" s="27" t="s">
        <v>12</v>
      </c>
      <c r="J48" s="22"/>
    </row>
    <row r="49" spans="1:1024" s="1" customFormat="1" ht="15.75">
      <c r="A49" s="23" t="s">
        <v>62</v>
      </c>
      <c r="B49" s="24">
        <v>1333437</v>
      </c>
      <c r="C49" s="25">
        <f t="shared" si="2"/>
        <v>37400</v>
      </c>
      <c r="D49" s="25">
        <v>37.4</v>
      </c>
      <c r="E49" s="25">
        <v>0.76</v>
      </c>
      <c r="F49" s="25">
        <v>3</v>
      </c>
      <c r="G49" s="25">
        <v>0.74</v>
      </c>
      <c r="H49" s="26">
        <f t="shared" si="3"/>
        <v>1.6872</v>
      </c>
      <c r="I49" s="27" t="s">
        <v>12</v>
      </c>
      <c r="J49" s="22"/>
      <c r="AMI49"/>
      <c r="AMJ49"/>
    </row>
    <row r="50" spans="1:1024" s="1" customFormat="1" ht="15.75">
      <c r="A50" s="23" t="s">
        <v>63</v>
      </c>
      <c r="B50" s="24"/>
      <c r="C50" s="25">
        <f t="shared" si="2"/>
        <v>38000</v>
      </c>
      <c r="D50" s="25">
        <v>38</v>
      </c>
      <c r="E50" s="25">
        <v>0.75</v>
      </c>
      <c r="F50" s="25">
        <v>1.8</v>
      </c>
      <c r="G50" s="25">
        <v>0.6</v>
      </c>
      <c r="H50" s="26">
        <f t="shared" si="3"/>
        <v>0.8099999999999999</v>
      </c>
      <c r="I50" s="27" t="s">
        <v>12</v>
      </c>
      <c r="J50" s="22"/>
      <c r="AMI50"/>
      <c r="AMJ50"/>
    </row>
    <row r="51" spans="1:10" ht="15.75">
      <c r="A51" s="23" t="s">
        <v>64</v>
      </c>
      <c r="B51" s="30">
        <v>1367080</v>
      </c>
      <c r="C51" s="25">
        <f t="shared" si="2"/>
        <v>11600</v>
      </c>
      <c r="D51" s="25">
        <v>11.6</v>
      </c>
      <c r="E51" s="26">
        <v>0.85</v>
      </c>
      <c r="F51" s="26">
        <v>1</v>
      </c>
      <c r="G51" s="26">
        <v>1</v>
      </c>
      <c r="H51" s="26">
        <f t="shared" si="3"/>
        <v>0.85</v>
      </c>
      <c r="I51" s="27" t="s">
        <v>12</v>
      </c>
      <c r="J51" s="22"/>
    </row>
    <row r="52" spans="1:10" ht="15.75">
      <c r="A52" s="23" t="s">
        <v>65</v>
      </c>
      <c r="B52" s="24">
        <v>1367064</v>
      </c>
      <c r="C52" s="25">
        <f t="shared" si="2"/>
        <v>24000</v>
      </c>
      <c r="D52" s="25">
        <v>24</v>
      </c>
      <c r="E52" s="25">
        <v>0.76</v>
      </c>
      <c r="F52" s="25">
        <v>1.15</v>
      </c>
      <c r="G52" s="25">
        <v>1.15</v>
      </c>
      <c r="H52" s="26">
        <f t="shared" si="3"/>
        <v>1.0050999999999999</v>
      </c>
      <c r="I52" s="27" t="s">
        <v>12</v>
      </c>
      <c r="J52" s="22"/>
    </row>
    <row r="53" spans="1:10" ht="15.75">
      <c r="A53" s="23" t="s">
        <v>66</v>
      </c>
      <c r="B53" s="24"/>
      <c r="C53" s="25">
        <f t="shared" si="2"/>
        <v>34000</v>
      </c>
      <c r="D53" s="25">
        <v>34</v>
      </c>
      <c r="E53" s="25">
        <v>0.75</v>
      </c>
      <c r="F53" s="25">
        <v>1.2</v>
      </c>
      <c r="G53" s="25">
        <v>1.2</v>
      </c>
      <c r="H53" s="26">
        <f t="shared" si="3"/>
        <v>1.0799999999999998</v>
      </c>
      <c r="I53" s="27" t="s">
        <v>12</v>
      </c>
      <c r="J53" s="22"/>
    </row>
    <row r="54" spans="1:10" ht="15.75">
      <c r="A54" s="23" t="s">
        <v>67</v>
      </c>
      <c r="B54" s="24">
        <v>1367072</v>
      </c>
      <c r="C54" s="25">
        <f t="shared" si="2"/>
        <v>37000</v>
      </c>
      <c r="D54" s="25">
        <v>37</v>
      </c>
      <c r="E54" s="25">
        <v>0.75</v>
      </c>
      <c r="F54" s="25">
        <v>1.4</v>
      </c>
      <c r="G54" s="25">
        <v>1.4</v>
      </c>
      <c r="H54" s="26">
        <f t="shared" si="3"/>
        <v>1.4699999999999998</v>
      </c>
      <c r="I54" s="27" t="s">
        <v>12</v>
      </c>
      <c r="J54" s="22"/>
    </row>
    <row r="55" spans="1:10" ht="15.75">
      <c r="A55" s="23" t="s">
        <v>68</v>
      </c>
      <c r="B55" s="24"/>
      <c r="C55" s="25">
        <f t="shared" si="2"/>
        <v>35000</v>
      </c>
      <c r="D55" s="25">
        <v>35</v>
      </c>
      <c r="E55" s="25">
        <v>0.75</v>
      </c>
      <c r="F55" s="25">
        <v>1.4</v>
      </c>
      <c r="G55" s="25">
        <v>1.4</v>
      </c>
      <c r="H55" s="26">
        <f t="shared" si="3"/>
        <v>1.4699999999999998</v>
      </c>
      <c r="I55" s="27" t="s">
        <v>12</v>
      </c>
      <c r="J55" s="22"/>
    </row>
    <row r="56" spans="1:10" ht="15.75">
      <c r="A56" s="23" t="s">
        <v>69</v>
      </c>
      <c r="B56" s="24"/>
      <c r="C56" s="25">
        <f t="shared" si="2"/>
        <v>25000</v>
      </c>
      <c r="D56" s="25">
        <v>25</v>
      </c>
      <c r="E56" s="25">
        <v>0.75</v>
      </c>
      <c r="F56" s="25">
        <v>0.92</v>
      </c>
      <c r="G56" s="25">
        <v>0.58</v>
      </c>
      <c r="H56" s="26">
        <f t="shared" si="3"/>
        <v>0.40019999999999994</v>
      </c>
      <c r="I56" s="27" t="s">
        <v>12</v>
      </c>
      <c r="J56" s="22"/>
    </row>
    <row r="57" spans="1:10" ht="15.75">
      <c r="A57" s="32" t="s">
        <v>70</v>
      </c>
      <c r="B57" s="24">
        <v>1713779</v>
      </c>
      <c r="C57" s="25">
        <f t="shared" si="2"/>
        <v>36000</v>
      </c>
      <c r="D57" s="25">
        <v>36</v>
      </c>
      <c r="E57" s="25">
        <v>0.75</v>
      </c>
      <c r="F57" s="25">
        <v>2.2</v>
      </c>
      <c r="G57" s="25">
        <v>0.9</v>
      </c>
      <c r="H57" s="26">
        <f t="shared" si="3"/>
        <v>1.4850000000000003</v>
      </c>
      <c r="I57" s="27" t="s">
        <v>12</v>
      </c>
      <c r="J57" s="22"/>
    </row>
    <row r="58" spans="1:10" ht="15.75">
      <c r="A58" s="32" t="s">
        <v>71</v>
      </c>
      <c r="B58" s="24">
        <v>1391364</v>
      </c>
      <c r="C58" s="25">
        <f t="shared" si="2"/>
        <v>54500</v>
      </c>
      <c r="D58" s="25">
        <v>54.5</v>
      </c>
      <c r="E58" s="25">
        <v>0.75</v>
      </c>
      <c r="F58" s="25">
        <v>2.4</v>
      </c>
      <c r="G58" s="25">
        <v>1.2</v>
      </c>
      <c r="H58" s="26">
        <f t="shared" si="3"/>
        <v>2.1599999999999997</v>
      </c>
      <c r="I58" s="27" t="s">
        <v>12</v>
      </c>
      <c r="J58" s="22"/>
    </row>
    <row r="59" spans="1:10" ht="15.75">
      <c r="A59" s="32" t="s">
        <v>72</v>
      </c>
      <c r="B59" s="24">
        <v>1667386</v>
      </c>
      <c r="C59" s="25">
        <f t="shared" si="2"/>
        <v>109600</v>
      </c>
      <c r="D59" s="25">
        <v>109.6</v>
      </c>
      <c r="E59" s="25">
        <v>0.75</v>
      </c>
      <c r="F59" s="25">
        <v>2.8</v>
      </c>
      <c r="G59" s="25">
        <v>0.9</v>
      </c>
      <c r="H59" s="26">
        <f t="shared" si="3"/>
        <v>1.89</v>
      </c>
      <c r="I59" s="27" t="s">
        <v>12</v>
      </c>
      <c r="J59" s="22"/>
    </row>
    <row r="60" spans="1:10" ht="15.75">
      <c r="A60" s="23" t="s">
        <v>73</v>
      </c>
      <c r="B60" s="24">
        <v>1367099</v>
      </c>
      <c r="C60" s="25">
        <f t="shared" si="2"/>
        <v>17100</v>
      </c>
      <c r="D60" s="25">
        <v>17.1</v>
      </c>
      <c r="E60" s="26">
        <v>0.68</v>
      </c>
      <c r="F60" s="26">
        <v>0.6</v>
      </c>
      <c r="G60" s="26">
        <v>0.46</v>
      </c>
      <c r="H60" s="26">
        <f t="shared" si="3"/>
        <v>0.18768</v>
      </c>
      <c r="I60" s="27" t="s">
        <v>12</v>
      </c>
      <c r="J60" s="22"/>
    </row>
    <row r="61" spans="1:10" ht="15.75">
      <c r="A61" s="23" t="s">
        <v>74</v>
      </c>
      <c r="B61" s="30">
        <v>1799207</v>
      </c>
      <c r="C61" s="25">
        <f t="shared" si="2"/>
        <v>8500</v>
      </c>
      <c r="D61" s="25">
        <v>8.5</v>
      </c>
      <c r="E61" s="26">
        <v>0.75</v>
      </c>
      <c r="F61" s="26">
        <v>1.15</v>
      </c>
      <c r="G61" s="26">
        <v>0.7</v>
      </c>
      <c r="H61" s="26">
        <f t="shared" si="3"/>
        <v>0.6037499999999999</v>
      </c>
      <c r="I61" s="27" t="s">
        <v>12</v>
      </c>
      <c r="J61" s="31" t="s">
        <v>35</v>
      </c>
    </row>
    <row r="62" spans="1:10" ht="15.75">
      <c r="A62" s="33" t="s">
        <v>75</v>
      </c>
      <c r="B62" s="28">
        <v>651397</v>
      </c>
      <c r="C62" s="25">
        <f t="shared" si="2"/>
        <v>6000</v>
      </c>
      <c r="D62" s="34">
        <v>6</v>
      </c>
      <c r="E62" s="34">
        <v>0.25</v>
      </c>
      <c r="F62" s="34">
        <v>0.41</v>
      </c>
      <c r="G62" s="34">
        <v>0.35</v>
      </c>
      <c r="H62" s="26">
        <f t="shared" si="3"/>
        <v>0.035875</v>
      </c>
      <c r="I62" s="27" t="s">
        <v>12</v>
      </c>
      <c r="J62" s="22"/>
    </row>
    <row r="63" spans="1:10" ht="15.75">
      <c r="A63" s="23" t="s">
        <v>76</v>
      </c>
      <c r="B63" s="30">
        <v>1708333</v>
      </c>
      <c r="C63" s="25">
        <f t="shared" si="2"/>
        <v>6000</v>
      </c>
      <c r="D63" s="25">
        <v>6</v>
      </c>
      <c r="E63" s="25">
        <v>0.25</v>
      </c>
      <c r="F63" s="25">
        <v>0.41</v>
      </c>
      <c r="G63" s="25">
        <v>0.35</v>
      </c>
      <c r="H63" s="26">
        <f t="shared" si="3"/>
        <v>0.035875</v>
      </c>
      <c r="I63" s="27" t="s">
        <v>12</v>
      </c>
      <c r="J63" s="22"/>
    </row>
    <row r="64" spans="1:10" ht="15.75">
      <c r="A64" s="23" t="s">
        <v>77</v>
      </c>
      <c r="B64" s="30">
        <v>1708341</v>
      </c>
      <c r="C64" s="25">
        <f t="shared" si="2"/>
        <v>6000</v>
      </c>
      <c r="D64" s="25">
        <v>6</v>
      </c>
      <c r="E64" s="25">
        <v>0.25</v>
      </c>
      <c r="F64" s="25">
        <v>0.41</v>
      </c>
      <c r="G64" s="25">
        <v>0.35</v>
      </c>
      <c r="H64" s="26">
        <f t="shared" si="3"/>
        <v>0.035875</v>
      </c>
      <c r="I64" s="27" t="s">
        <v>12</v>
      </c>
      <c r="J64" s="22"/>
    </row>
    <row r="65" spans="1:10" ht="15.75">
      <c r="A65" s="23" t="s">
        <v>78</v>
      </c>
      <c r="B65" s="30">
        <v>1718746</v>
      </c>
      <c r="C65" s="25">
        <f t="shared" si="2"/>
        <v>8000</v>
      </c>
      <c r="D65" s="25">
        <v>8</v>
      </c>
      <c r="E65" s="25">
        <v>0.44</v>
      </c>
      <c r="F65" s="25">
        <v>0.64</v>
      </c>
      <c r="G65" s="25">
        <v>0.18</v>
      </c>
      <c r="H65" s="26">
        <f t="shared" si="3"/>
        <v>0.050688</v>
      </c>
      <c r="I65" s="27" t="s">
        <v>12</v>
      </c>
      <c r="J65" s="22"/>
    </row>
    <row r="66" spans="1:10" ht="15.75">
      <c r="A66" s="23" t="s">
        <v>79</v>
      </c>
      <c r="B66" s="30">
        <v>1675290</v>
      </c>
      <c r="C66" s="25">
        <f t="shared" si="2"/>
        <v>2500</v>
      </c>
      <c r="D66" s="25">
        <v>2.5</v>
      </c>
      <c r="E66" s="25">
        <v>38</v>
      </c>
      <c r="F66" s="25">
        <v>47</v>
      </c>
      <c r="G66" s="25">
        <v>10</v>
      </c>
      <c r="H66" s="26">
        <f t="shared" si="3"/>
        <v>17860</v>
      </c>
      <c r="I66" s="27" t="s">
        <v>12</v>
      </c>
      <c r="J66" s="22"/>
    </row>
    <row r="67" spans="1:10" ht="15.75">
      <c r="A67" s="60" t="s">
        <v>80</v>
      </c>
      <c r="B67" s="30">
        <v>1640674</v>
      </c>
      <c r="C67" s="25">
        <f aca="true" t="shared" si="4" ref="C67:C79">SUM(D67*1000)</f>
        <v>12500</v>
      </c>
      <c r="D67" s="25">
        <v>12.5</v>
      </c>
      <c r="E67" s="26">
        <v>0.42</v>
      </c>
      <c r="F67" s="26">
        <v>0.34</v>
      </c>
      <c r="G67" s="26">
        <v>0.34</v>
      </c>
      <c r="H67" s="26">
        <f aca="true" t="shared" si="5" ref="H67:H79">E67*G67*F67</f>
        <v>0.048552000000000005</v>
      </c>
      <c r="I67" s="27" t="s">
        <v>12</v>
      </c>
      <c r="J67" s="22"/>
    </row>
    <row r="68" spans="1:1024" s="1" customFormat="1" ht="15.75">
      <c r="A68" s="60" t="s">
        <v>81</v>
      </c>
      <c r="B68" s="30">
        <v>1762923</v>
      </c>
      <c r="C68" s="25">
        <f t="shared" si="4"/>
        <v>2700</v>
      </c>
      <c r="D68" s="25">
        <v>2.7</v>
      </c>
      <c r="E68" s="26">
        <v>0.25</v>
      </c>
      <c r="F68" s="26">
        <v>0.31</v>
      </c>
      <c r="G68" s="26">
        <v>0.9</v>
      </c>
      <c r="H68" s="26">
        <f t="shared" si="5"/>
        <v>0.06975</v>
      </c>
      <c r="I68" s="27" t="s">
        <v>12</v>
      </c>
      <c r="J68" s="22"/>
      <c r="AMI68"/>
      <c r="AMJ68"/>
    </row>
    <row r="69" spans="1:10" ht="15.75">
      <c r="A69" s="60" t="s">
        <v>82</v>
      </c>
      <c r="B69" s="24">
        <v>1367463</v>
      </c>
      <c r="C69" s="25">
        <f t="shared" si="4"/>
        <v>6500</v>
      </c>
      <c r="D69" s="25">
        <v>6.5</v>
      </c>
      <c r="E69" s="26">
        <v>0.9</v>
      </c>
      <c r="F69" s="26">
        <v>1.2</v>
      </c>
      <c r="G69" s="26">
        <v>0.015</v>
      </c>
      <c r="H69" s="26">
        <f t="shared" si="5"/>
        <v>0.0162</v>
      </c>
      <c r="I69" s="27" t="s">
        <v>12</v>
      </c>
      <c r="J69" s="22"/>
    </row>
    <row r="70" spans="1:10" ht="15.75">
      <c r="A70" s="60" t="s">
        <v>83</v>
      </c>
      <c r="B70" s="24">
        <v>1367404</v>
      </c>
      <c r="C70" s="25">
        <f t="shared" si="4"/>
        <v>3500</v>
      </c>
      <c r="D70" s="25">
        <v>3.5</v>
      </c>
      <c r="E70" s="26">
        <v>0.8</v>
      </c>
      <c r="F70" s="26">
        <v>1</v>
      </c>
      <c r="G70" s="26">
        <v>0.01</v>
      </c>
      <c r="H70" s="26">
        <f t="shared" si="5"/>
        <v>0.008</v>
      </c>
      <c r="I70" s="27" t="s">
        <v>12</v>
      </c>
      <c r="J70" s="22"/>
    </row>
    <row r="71" spans="1:10" ht="15.75">
      <c r="A71" s="60" t="s">
        <v>84</v>
      </c>
      <c r="B71" s="24" t="s">
        <v>85</v>
      </c>
      <c r="C71" s="25">
        <f t="shared" si="4"/>
        <v>38900</v>
      </c>
      <c r="D71" s="25">
        <v>38.9</v>
      </c>
      <c r="E71" s="26">
        <v>1.5</v>
      </c>
      <c r="F71" s="26">
        <v>0.6</v>
      </c>
      <c r="G71" s="26">
        <v>0.7</v>
      </c>
      <c r="H71" s="26">
        <f t="shared" si="5"/>
        <v>0.6299999999999999</v>
      </c>
      <c r="I71" s="27" t="s">
        <v>12</v>
      </c>
      <c r="J71" s="22"/>
    </row>
    <row r="72" spans="1:10" ht="15.75">
      <c r="A72" s="60" t="s">
        <v>86</v>
      </c>
      <c r="B72" s="30">
        <v>1624075</v>
      </c>
      <c r="C72" s="25">
        <f t="shared" si="4"/>
        <v>5800</v>
      </c>
      <c r="D72" s="25">
        <v>5.8</v>
      </c>
      <c r="E72" s="25">
        <v>0.26</v>
      </c>
      <c r="F72" s="25">
        <v>0.4</v>
      </c>
      <c r="G72" s="25">
        <v>0.27</v>
      </c>
      <c r="H72" s="26">
        <f t="shared" si="5"/>
        <v>0.028080000000000008</v>
      </c>
      <c r="I72" s="27" t="s">
        <v>12</v>
      </c>
      <c r="J72" s="22"/>
    </row>
    <row r="73" spans="1:10" ht="15.75">
      <c r="A73" s="60" t="s">
        <v>87</v>
      </c>
      <c r="B73" s="24">
        <v>1651684</v>
      </c>
      <c r="C73" s="25">
        <f t="shared" si="4"/>
        <v>1300</v>
      </c>
      <c r="D73" s="25">
        <v>1.3</v>
      </c>
      <c r="E73" s="25">
        <v>0.36</v>
      </c>
      <c r="F73" s="25">
        <v>0.25</v>
      </c>
      <c r="G73" s="25">
        <v>0.6</v>
      </c>
      <c r="H73" s="26">
        <f t="shared" si="5"/>
        <v>0.054</v>
      </c>
      <c r="I73" s="27" t="s">
        <v>12</v>
      </c>
      <c r="J73" s="22"/>
    </row>
    <row r="74" spans="1:10" ht="15.75">
      <c r="A74" s="60" t="s">
        <v>88</v>
      </c>
      <c r="B74" s="24">
        <v>1652010</v>
      </c>
      <c r="C74" s="25">
        <f t="shared" si="4"/>
        <v>2000</v>
      </c>
      <c r="D74" s="25">
        <v>2</v>
      </c>
      <c r="E74" s="25">
        <v>0.18</v>
      </c>
      <c r="F74" s="25">
        <v>0.33</v>
      </c>
      <c r="G74" s="25">
        <v>0.25</v>
      </c>
      <c r="H74" s="26">
        <f t="shared" si="5"/>
        <v>0.01485</v>
      </c>
      <c r="I74" s="27" t="s">
        <v>12</v>
      </c>
      <c r="J74" s="22"/>
    </row>
    <row r="75" spans="1:10" ht="15.75">
      <c r="A75" s="60" t="s">
        <v>89</v>
      </c>
      <c r="B75" s="35">
        <v>1713043</v>
      </c>
      <c r="C75" s="25">
        <f t="shared" si="4"/>
        <v>15000</v>
      </c>
      <c r="D75" s="25">
        <v>15</v>
      </c>
      <c r="E75" s="25">
        <v>1.5</v>
      </c>
      <c r="F75" s="25">
        <v>0.5</v>
      </c>
      <c r="G75" s="25">
        <v>0.5</v>
      </c>
      <c r="H75" s="26">
        <f t="shared" si="5"/>
        <v>0.375</v>
      </c>
      <c r="I75" s="27" t="s">
        <v>12</v>
      </c>
      <c r="J75" s="22" t="s">
        <v>35</v>
      </c>
    </row>
    <row r="76" spans="1:10" ht="15.75">
      <c r="A76" s="60" t="s">
        <v>90</v>
      </c>
      <c r="B76" s="35">
        <v>1713027</v>
      </c>
      <c r="C76" s="25">
        <f t="shared" si="4"/>
        <v>5400</v>
      </c>
      <c r="D76" s="25">
        <v>5.4</v>
      </c>
      <c r="E76" s="25">
        <v>2.4</v>
      </c>
      <c r="F76" s="25">
        <v>1.8</v>
      </c>
      <c r="G76" s="25">
        <v>0.3</v>
      </c>
      <c r="H76" s="26">
        <f t="shared" si="5"/>
        <v>1.296</v>
      </c>
      <c r="I76" s="27" t="s">
        <v>12</v>
      </c>
      <c r="J76" s="22" t="s">
        <v>35</v>
      </c>
    </row>
    <row r="77" spans="1:10" ht="15.75">
      <c r="A77" s="60" t="s">
        <v>91</v>
      </c>
      <c r="B77" s="24">
        <v>1663950</v>
      </c>
      <c r="C77" s="25">
        <f t="shared" si="4"/>
        <v>8500</v>
      </c>
      <c r="D77" s="25">
        <v>8.5</v>
      </c>
      <c r="E77" s="25">
        <v>0.96</v>
      </c>
      <c r="F77" s="25">
        <v>1.67</v>
      </c>
      <c r="G77" s="25">
        <v>0.6</v>
      </c>
      <c r="H77" s="26">
        <f t="shared" si="5"/>
        <v>0.9619199999999999</v>
      </c>
      <c r="I77" s="27" t="s">
        <v>12</v>
      </c>
      <c r="J77" s="22"/>
    </row>
    <row r="78" spans="1:10" ht="15.75">
      <c r="A78" s="61" t="s">
        <v>92</v>
      </c>
      <c r="B78" s="24">
        <v>1471287</v>
      </c>
      <c r="C78" s="25">
        <f t="shared" si="4"/>
        <v>20000</v>
      </c>
      <c r="D78" s="25">
        <v>20</v>
      </c>
      <c r="E78" s="26">
        <v>0.86</v>
      </c>
      <c r="F78" s="26">
        <v>1.38</v>
      </c>
      <c r="G78" s="26">
        <v>0.18</v>
      </c>
      <c r="H78" s="26">
        <f t="shared" si="5"/>
        <v>0.21362399999999998</v>
      </c>
      <c r="I78" s="27" t="s">
        <v>12</v>
      </c>
      <c r="J78" s="22"/>
    </row>
    <row r="79" spans="1:10" ht="15.75">
      <c r="A79" s="60" t="s">
        <v>93</v>
      </c>
      <c r="B79" s="30" t="s">
        <v>94</v>
      </c>
      <c r="C79" s="25">
        <f t="shared" si="4"/>
        <v>200</v>
      </c>
      <c r="D79" s="25">
        <v>0.2</v>
      </c>
      <c r="E79" s="25">
        <v>0.06</v>
      </c>
      <c r="F79" s="25">
        <v>0.15</v>
      </c>
      <c r="G79" s="25">
        <v>0.08</v>
      </c>
      <c r="H79" s="36">
        <f t="shared" si="5"/>
        <v>0.0007199999999999999</v>
      </c>
      <c r="I79" s="37" t="s">
        <v>12</v>
      </c>
      <c r="J79" s="38"/>
    </row>
    <row r="80" spans="1:10" ht="15.75">
      <c r="A80" s="62" t="s">
        <v>95</v>
      </c>
      <c r="B80" s="30"/>
      <c r="C80" s="55">
        <f aca="true" t="shared" si="6" ref="C80:C92">SUM(D80*1000)</f>
        <v>30000</v>
      </c>
      <c r="D80" s="63">
        <v>30</v>
      </c>
      <c r="E80" s="55">
        <v>0.755</v>
      </c>
      <c r="F80" s="62">
        <v>1.2</v>
      </c>
      <c r="G80" s="62">
        <v>0.75</v>
      </c>
      <c r="H80" s="56">
        <f aca="true" t="shared" si="7" ref="H80:H92">E80*G80*F80</f>
        <v>0.6795</v>
      </c>
      <c r="I80" s="37" t="s">
        <v>12</v>
      </c>
      <c r="J80" s="57"/>
    </row>
    <row r="81" spans="1:10" ht="15.75">
      <c r="A81" s="62" t="s">
        <v>96</v>
      </c>
      <c r="B81" s="30"/>
      <c r="C81" s="55">
        <f t="shared" si="6"/>
        <v>38000</v>
      </c>
      <c r="D81" s="63">
        <v>38</v>
      </c>
      <c r="E81" s="55">
        <v>0.755</v>
      </c>
      <c r="F81" s="62">
        <v>1.65</v>
      </c>
      <c r="G81" s="62">
        <v>0.75</v>
      </c>
      <c r="H81" s="56">
        <f t="shared" si="7"/>
        <v>0.9343125</v>
      </c>
      <c r="I81" s="37" t="s">
        <v>12</v>
      </c>
      <c r="J81" s="57"/>
    </row>
    <row r="82" spans="1:10" ht="15.75">
      <c r="A82" s="62" t="s">
        <v>97</v>
      </c>
      <c r="B82" s="30"/>
      <c r="C82" s="55">
        <f t="shared" si="6"/>
        <v>7000</v>
      </c>
      <c r="D82" s="63">
        <v>7</v>
      </c>
      <c r="E82" s="55">
        <v>0.025</v>
      </c>
      <c r="F82" s="62">
        <v>0.75</v>
      </c>
      <c r="G82" s="62">
        <v>0.75</v>
      </c>
      <c r="H82" s="56">
        <f t="shared" si="7"/>
        <v>0.014062500000000002</v>
      </c>
      <c r="I82" s="37" t="s">
        <v>12</v>
      </c>
      <c r="J82" s="57"/>
    </row>
    <row r="83" spans="1:10" ht="15.75">
      <c r="A83" s="62" t="s">
        <v>98</v>
      </c>
      <c r="B83" s="30"/>
      <c r="C83" s="55">
        <f t="shared" si="6"/>
        <v>30000</v>
      </c>
      <c r="D83" s="62">
        <v>30</v>
      </c>
      <c r="E83" s="55">
        <v>0.68</v>
      </c>
      <c r="F83" s="62">
        <v>0.35</v>
      </c>
      <c r="G83" s="62">
        <v>0.5</v>
      </c>
      <c r="H83" s="56">
        <f t="shared" si="7"/>
        <v>0.119</v>
      </c>
      <c r="I83" s="37" t="s">
        <v>12</v>
      </c>
      <c r="J83" s="57"/>
    </row>
    <row r="84" spans="1:10" ht="15.75">
      <c r="A84" s="62" t="s">
        <v>99</v>
      </c>
      <c r="B84" s="30"/>
      <c r="C84" s="55">
        <f t="shared" si="6"/>
        <v>53000</v>
      </c>
      <c r="D84" s="62">
        <v>53</v>
      </c>
      <c r="E84" s="55">
        <v>0.755</v>
      </c>
      <c r="F84" s="62">
        <v>0.9</v>
      </c>
      <c r="G84" s="62">
        <v>0.6</v>
      </c>
      <c r="H84" s="56">
        <f t="shared" si="7"/>
        <v>0.40769999999999995</v>
      </c>
      <c r="I84" s="37" t="s">
        <v>12</v>
      </c>
      <c r="J84" s="57"/>
    </row>
    <row r="85" spans="1:10" ht="15.75">
      <c r="A85" s="62" t="s">
        <v>100</v>
      </c>
      <c r="B85" s="30"/>
      <c r="C85" s="55">
        <f t="shared" si="6"/>
        <v>30000</v>
      </c>
      <c r="D85" s="62">
        <v>30</v>
      </c>
      <c r="E85" s="55">
        <v>0.755</v>
      </c>
      <c r="F85" s="62">
        <v>1.2</v>
      </c>
      <c r="G85" s="62">
        <v>1.2</v>
      </c>
      <c r="H85" s="56">
        <f t="shared" si="7"/>
        <v>1.0872</v>
      </c>
      <c r="I85" s="37" t="s">
        <v>12</v>
      </c>
      <c r="J85" s="57"/>
    </row>
    <row r="86" spans="1:10" ht="15.75">
      <c r="A86" s="62" t="s">
        <v>101</v>
      </c>
      <c r="B86" s="30"/>
      <c r="C86" s="55">
        <f t="shared" si="6"/>
        <v>60000</v>
      </c>
      <c r="D86" s="62">
        <v>60</v>
      </c>
      <c r="E86" s="55">
        <v>0.755</v>
      </c>
      <c r="F86" s="62">
        <v>1.4</v>
      </c>
      <c r="G86" s="62">
        <v>1.4</v>
      </c>
      <c r="H86" s="56">
        <f t="shared" si="7"/>
        <v>1.4797999999999998</v>
      </c>
      <c r="I86" s="37" t="s">
        <v>12</v>
      </c>
      <c r="J86" s="57"/>
    </row>
    <row r="87" spans="1:10" ht="15.75">
      <c r="A87" s="62" t="s">
        <v>102</v>
      </c>
      <c r="B87" s="30"/>
      <c r="C87" s="55">
        <f t="shared" si="6"/>
        <v>30000</v>
      </c>
      <c r="D87" s="62">
        <v>30</v>
      </c>
      <c r="E87" s="55">
        <v>0.755</v>
      </c>
      <c r="F87" s="62">
        <v>1.2</v>
      </c>
      <c r="G87" s="62">
        <v>0.6</v>
      </c>
      <c r="H87" s="56">
        <f t="shared" si="7"/>
        <v>0.5436</v>
      </c>
      <c r="I87" s="37" t="s">
        <v>12</v>
      </c>
      <c r="J87" s="57"/>
    </row>
    <row r="88" spans="1:10" ht="15.75">
      <c r="A88" s="62" t="s">
        <v>103</v>
      </c>
      <c r="B88" s="30"/>
      <c r="C88" s="55">
        <f t="shared" si="6"/>
        <v>23000</v>
      </c>
      <c r="D88" s="62">
        <v>23</v>
      </c>
      <c r="E88" s="55">
        <v>0.755</v>
      </c>
      <c r="F88" s="62">
        <v>0.8</v>
      </c>
      <c r="G88" s="62">
        <v>0.6</v>
      </c>
      <c r="H88" s="56">
        <f t="shared" si="7"/>
        <v>0.3624</v>
      </c>
      <c r="I88" s="37" t="s">
        <v>12</v>
      </c>
      <c r="J88" s="57"/>
    </row>
    <row r="89" spans="1:10" ht="15.75">
      <c r="A89" s="62" t="s">
        <v>104</v>
      </c>
      <c r="B89" s="30"/>
      <c r="C89" s="55">
        <f t="shared" si="6"/>
        <v>25000</v>
      </c>
      <c r="D89" s="62">
        <v>25</v>
      </c>
      <c r="E89" s="55">
        <v>0.755</v>
      </c>
      <c r="F89" s="62">
        <v>0.8</v>
      </c>
      <c r="G89" s="62">
        <v>0.8</v>
      </c>
      <c r="H89" s="56">
        <f t="shared" si="7"/>
        <v>0.4832000000000001</v>
      </c>
      <c r="I89" s="37" t="s">
        <v>12</v>
      </c>
      <c r="J89" s="57"/>
    </row>
    <row r="90" spans="1:10" ht="15.75">
      <c r="A90" s="62" t="s">
        <v>105</v>
      </c>
      <c r="B90" s="30"/>
      <c r="C90" s="55">
        <f t="shared" si="6"/>
        <v>55000</v>
      </c>
      <c r="D90" s="62">
        <v>55</v>
      </c>
      <c r="E90" s="55">
        <v>0.755</v>
      </c>
      <c r="F90" s="62">
        <v>2.2</v>
      </c>
      <c r="G90" s="62">
        <v>0.9</v>
      </c>
      <c r="H90" s="56">
        <f t="shared" si="7"/>
        <v>1.4949000000000001</v>
      </c>
      <c r="I90" s="37" t="s">
        <v>12</v>
      </c>
      <c r="J90" s="57"/>
    </row>
    <row r="91" spans="1:10" ht="15.75">
      <c r="A91" s="62" t="s">
        <v>106</v>
      </c>
      <c r="B91" s="30"/>
      <c r="C91" s="55">
        <f t="shared" si="6"/>
        <v>75000</v>
      </c>
      <c r="D91" s="62">
        <v>75</v>
      </c>
      <c r="E91" s="55">
        <v>0.755</v>
      </c>
      <c r="F91" s="62">
        <v>2.4</v>
      </c>
      <c r="G91" s="62">
        <v>1.2</v>
      </c>
      <c r="H91" s="56">
        <f t="shared" si="7"/>
        <v>2.1744</v>
      </c>
      <c r="I91" s="37" t="s">
        <v>12</v>
      </c>
      <c r="J91" s="57"/>
    </row>
    <row r="92" spans="1:10" ht="15.75">
      <c r="A92" s="62" t="s">
        <v>107</v>
      </c>
      <c r="B92" s="30"/>
      <c r="C92" s="55">
        <f t="shared" si="6"/>
        <v>103000</v>
      </c>
      <c r="D92" s="62">
        <v>103</v>
      </c>
      <c r="E92" s="55">
        <v>0.755</v>
      </c>
      <c r="F92" s="62">
        <v>3.1</v>
      </c>
      <c r="G92" s="62">
        <v>1.2</v>
      </c>
      <c r="H92" s="58">
        <f t="shared" si="7"/>
        <v>2.8085999999999998</v>
      </c>
      <c r="I92" s="37" t="s">
        <v>12</v>
      </c>
      <c r="J92" s="59"/>
    </row>
    <row r="93" spans="1:10" ht="15.75">
      <c r="A93" s="60" t="s">
        <v>108</v>
      </c>
      <c r="B93" s="30"/>
      <c r="C93" s="55">
        <f>SUM(D93*1000)</f>
        <v>24000</v>
      </c>
      <c r="D93" s="55">
        <v>24</v>
      </c>
      <c r="E93" s="55">
        <v>1.11</v>
      </c>
      <c r="F93" s="55">
        <v>0.7</v>
      </c>
      <c r="G93" s="62">
        <f>600/1000</f>
        <v>0.6</v>
      </c>
      <c r="H93" s="58">
        <f>E93*G93*F93</f>
        <v>0.4662</v>
      </c>
      <c r="I93" s="37" t="s">
        <v>12</v>
      </c>
      <c r="J93" s="59"/>
    </row>
    <row r="94" spans="1:10" ht="15.75">
      <c r="A94" s="60" t="s">
        <v>74</v>
      </c>
      <c r="B94" s="30"/>
      <c r="C94" s="55">
        <f>SUM(D94*1000)</f>
        <v>16000</v>
      </c>
      <c r="D94" s="55">
        <v>16</v>
      </c>
      <c r="E94" s="55">
        <v>0.75</v>
      </c>
      <c r="F94" s="55">
        <v>1.16</v>
      </c>
      <c r="G94" s="55">
        <v>0.7</v>
      </c>
      <c r="H94" s="58">
        <f>E94*G94*F94</f>
        <v>0.6089999999999999</v>
      </c>
      <c r="I94" s="37" t="s">
        <v>12</v>
      </c>
      <c r="J94" s="59"/>
    </row>
    <row r="95" spans="1:10" ht="18.75">
      <c r="A95" s="65" t="s">
        <v>109</v>
      </c>
      <c r="B95" s="65"/>
      <c r="C95" s="65"/>
      <c r="D95" s="65"/>
      <c r="E95" s="65"/>
      <c r="F95" s="65"/>
      <c r="G95" s="65"/>
      <c r="H95" s="65"/>
      <c r="I95" s="65"/>
      <c r="J95" s="65"/>
    </row>
    <row r="96" spans="1:1024" s="6" customFormat="1" ht="30">
      <c r="A96" s="39" t="s">
        <v>1</v>
      </c>
      <c r="B96" s="39" t="s">
        <v>2</v>
      </c>
      <c r="C96" s="39" t="s">
        <v>3</v>
      </c>
      <c r="D96" s="39" t="s">
        <v>4</v>
      </c>
      <c r="E96" s="52" t="s">
        <v>110</v>
      </c>
      <c r="F96" s="52" t="s">
        <v>111</v>
      </c>
      <c r="G96" s="52" t="s">
        <v>112</v>
      </c>
      <c r="H96" s="52" t="s">
        <v>8</v>
      </c>
      <c r="I96" s="53" t="s">
        <v>9</v>
      </c>
      <c r="J96" s="54" t="s">
        <v>10</v>
      </c>
      <c r="AMI96" s="7"/>
      <c r="AMJ96" s="7"/>
    </row>
    <row r="97" spans="1:10" ht="15.75" thickTop="1">
      <c r="A97" s="40" t="s">
        <v>113</v>
      </c>
      <c r="B97" s="8">
        <v>1222066</v>
      </c>
      <c r="C97" s="8">
        <f>D97*1000</f>
        <v>5000</v>
      </c>
      <c r="D97" s="8">
        <v>5</v>
      </c>
      <c r="E97" s="9">
        <v>37.5</v>
      </c>
      <c r="F97" s="10">
        <v>25</v>
      </c>
      <c r="G97" s="11">
        <v>6.5</v>
      </c>
      <c r="H97" s="12">
        <f>6093.75/1000000</f>
        <v>0.00609375</v>
      </c>
      <c r="I97" s="13" t="s">
        <v>114</v>
      </c>
      <c r="J97" s="22"/>
    </row>
    <row r="98" spans="1:10" ht="15">
      <c r="A98" s="40" t="s">
        <v>115</v>
      </c>
      <c r="B98" s="8">
        <v>1222074</v>
      </c>
      <c r="C98" s="8">
        <f aca="true" t="shared" si="8" ref="C98:C161">D98*1000</f>
        <v>1000</v>
      </c>
      <c r="D98" s="8">
        <v>1</v>
      </c>
      <c r="E98" s="12">
        <v>22.5</v>
      </c>
      <c r="F98" s="14">
        <v>15.5</v>
      </c>
      <c r="G98" s="15">
        <v>3.5</v>
      </c>
      <c r="H98" s="9">
        <f>1220.625/1000000</f>
        <v>0.001220625</v>
      </c>
      <c r="I98" s="16" t="s">
        <v>116</v>
      </c>
      <c r="J98" s="22"/>
    </row>
    <row r="99" spans="1:10" ht="15">
      <c r="A99" s="40" t="s">
        <v>117</v>
      </c>
      <c r="B99" s="8">
        <v>322482</v>
      </c>
      <c r="C99" s="8">
        <f t="shared" si="8"/>
        <v>130</v>
      </c>
      <c r="D99" s="8">
        <v>0.13</v>
      </c>
      <c r="E99" s="12">
        <v>16</v>
      </c>
      <c r="F99" s="14">
        <v>4.5</v>
      </c>
      <c r="G99" s="15">
        <v>2.5</v>
      </c>
      <c r="H99" s="9">
        <f>180/1000000</f>
        <v>0.00018</v>
      </c>
      <c r="I99" s="16" t="s">
        <v>118</v>
      </c>
      <c r="J99" s="22"/>
    </row>
    <row r="100" spans="1:10" ht="15">
      <c r="A100" s="40" t="s">
        <v>119</v>
      </c>
      <c r="B100" s="8">
        <v>83275</v>
      </c>
      <c r="C100" s="8">
        <f t="shared" si="8"/>
        <v>390</v>
      </c>
      <c r="D100" s="8">
        <v>0.39</v>
      </c>
      <c r="E100" s="12">
        <v>23</v>
      </c>
      <c r="F100" s="14">
        <v>16</v>
      </c>
      <c r="G100" s="15">
        <v>1</v>
      </c>
      <c r="H100" s="9">
        <f>368/1000000</f>
        <v>0.000368</v>
      </c>
      <c r="I100" s="16" t="s">
        <v>12</v>
      </c>
      <c r="J100" s="22"/>
    </row>
    <row r="101" spans="1:10" ht="15">
      <c r="A101" s="40" t="s">
        <v>120</v>
      </c>
      <c r="B101" s="8">
        <v>49166</v>
      </c>
      <c r="C101" s="8">
        <f t="shared" si="8"/>
        <v>60</v>
      </c>
      <c r="D101" s="8">
        <v>0.06</v>
      </c>
      <c r="E101" s="12">
        <v>9</v>
      </c>
      <c r="F101" s="14">
        <v>11.5</v>
      </c>
      <c r="G101" s="15">
        <v>1</v>
      </c>
      <c r="H101" s="9">
        <f>103.5/1000000</f>
        <v>0.0001035</v>
      </c>
      <c r="I101" s="16" t="s">
        <v>121</v>
      </c>
      <c r="J101" s="22"/>
    </row>
    <row r="102" spans="1:10" ht="15">
      <c r="A102" s="40" t="s">
        <v>122</v>
      </c>
      <c r="B102" s="8">
        <v>1016113</v>
      </c>
      <c r="C102" s="8">
        <f t="shared" si="8"/>
        <v>390</v>
      </c>
      <c r="D102" s="8">
        <v>0.39</v>
      </c>
      <c r="E102" s="12">
        <v>22</v>
      </c>
      <c r="F102" s="14">
        <v>19</v>
      </c>
      <c r="G102" s="15">
        <v>5.5</v>
      </c>
      <c r="H102" s="9">
        <f>2299/1000000</f>
        <v>0.002299</v>
      </c>
      <c r="I102" s="16" t="s">
        <v>123</v>
      </c>
      <c r="J102" s="22"/>
    </row>
    <row r="103" spans="1:10" ht="15">
      <c r="A103" s="40" t="s">
        <v>124</v>
      </c>
      <c r="B103" s="8">
        <v>964387</v>
      </c>
      <c r="C103" s="8">
        <f t="shared" si="8"/>
        <v>60</v>
      </c>
      <c r="D103" s="8">
        <v>0.06</v>
      </c>
      <c r="E103" s="12">
        <v>5</v>
      </c>
      <c r="F103" s="14">
        <v>9.3</v>
      </c>
      <c r="G103" s="15">
        <v>2</v>
      </c>
      <c r="H103" s="9">
        <f>93/1000000</f>
        <v>9.3E-05</v>
      </c>
      <c r="I103" s="16" t="s">
        <v>125</v>
      </c>
      <c r="J103" s="22"/>
    </row>
    <row r="104" spans="1:10" ht="30">
      <c r="A104" s="40" t="s">
        <v>126</v>
      </c>
      <c r="B104" s="8">
        <v>1351427</v>
      </c>
      <c r="C104" s="8">
        <f t="shared" si="8"/>
        <v>3406</v>
      </c>
      <c r="D104" s="8">
        <v>3.406</v>
      </c>
      <c r="E104" s="12">
        <v>37</v>
      </c>
      <c r="F104" s="14">
        <v>27</v>
      </c>
      <c r="G104" s="15">
        <v>15</v>
      </c>
      <c r="H104" s="9">
        <f>14985/1000000</f>
        <v>0.014985</v>
      </c>
      <c r="I104" s="16" t="s">
        <v>127</v>
      </c>
      <c r="J104" s="22"/>
    </row>
    <row r="105" spans="1:10" ht="30">
      <c r="A105" s="40" t="s">
        <v>128</v>
      </c>
      <c r="B105" s="8">
        <v>1034618</v>
      </c>
      <c r="C105" s="8">
        <f t="shared" si="8"/>
        <v>1700</v>
      </c>
      <c r="D105" s="8">
        <v>1.7</v>
      </c>
      <c r="E105" s="12">
        <v>21</v>
      </c>
      <c r="F105" s="14">
        <v>24</v>
      </c>
      <c r="G105" s="15">
        <v>24</v>
      </c>
      <c r="H105" s="9">
        <f>12096/1000000</f>
        <v>0.012096</v>
      </c>
      <c r="I105" s="16" t="s">
        <v>127</v>
      </c>
      <c r="J105" s="22"/>
    </row>
    <row r="106" spans="1:10" ht="30">
      <c r="A106" s="40" t="s">
        <v>129</v>
      </c>
      <c r="B106" s="8">
        <v>838365</v>
      </c>
      <c r="C106" s="8">
        <f t="shared" si="8"/>
        <v>1860</v>
      </c>
      <c r="D106" s="8">
        <v>1.86</v>
      </c>
      <c r="E106" s="12">
        <v>21</v>
      </c>
      <c r="F106" s="14">
        <v>24</v>
      </c>
      <c r="G106" s="15">
        <v>24</v>
      </c>
      <c r="H106" s="9">
        <f>12096/1000000</f>
        <v>0.012096</v>
      </c>
      <c r="I106" s="16" t="s">
        <v>127</v>
      </c>
      <c r="J106" s="22"/>
    </row>
    <row r="107" spans="1:10" ht="30">
      <c r="A107" s="40" t="s">
        <v>130</v>
      </c>
      <c r="B107" s="8">
        <v>1034626</v>
      </c>
      <c r="C107" s="8">
        <f t="shared" si="8"/>
        <v>1700</v>
      </c>
      <c r="D107" s="8">
        <v>1.7</v>
      </c>
      <c r="E107" s="12">
        <v>21</v>
      </c>
      <c r="F107" s="14">
        <v>24</v>
      </c>
      <c r="G107" s="15">
        <v>24</v>
      </c>
      <c r="H107" s="9">
        <f>12096/1000000</f>
        <v>0.012096</v>
      </c>
      <c r="I107" s="16" t="s">
        <v>127</v>
      </c>
      <c r="J107" s="22"/>
    </row>
    <row r="108" spans="1:10" ht="30">
      <c r="A108" s="40" t="s">
        <v>131</v>
      </c>
      <c r="B108" s="8">
        <v>846813</v>
      </c>
      <c r="C108" s="8">
        <f t="shared" si="8"/>
        <v>1860</v>
      </c>
      <c r="D108" s="8">
        <v>1.86</v>
      </c>
      <c r="E108" s="12">
        <v>21</v>
      </c>
      <c r="F108" s="14">
        <v>24</v>
      </c>
      <c r="G108" s="15">
        <v>24</v>
      </c>
      <c r="H108" s="9">
        <f>12096/1000000</f>
        <v>0.012096</v>
      </c>
      <c r="I108" s="16" t="s">
        <v>127</v>
      </c>
      <c r="J108" s="22"/>
    </row>
    <row r="109" spans="1:10" ht="30">
      <c r="A109" s="40" t="s">
        <v>132</v>
      </c>
      <c r="B109" s="8">
        <v>995410</v>
      </c>
      <c r="C109" s="8">
        <f t="shared" si="8"/>
        <v>3406</v>
      </c>
      <c r="D109" s="8">
        <v>3.406</v>
      </c>
      <c r="E109" s="12">
        <v>37</v>
      </c>
      <c r="F109" s="14">
        <v>27</v>
      </c>
      <c r="G109" s="15">
        <v>15</v>
      </c>
      <c r="H109" s="9">
        <f>14985/1000000</f>
        <v>0.014985</v>
      </c>
      <c r="I109" s="16" t="s">
        <v>127</v>
      </c>
      <c r="J109" s="22"/>
    </row>
    <row r="110" spans="1:10" ht="30">
      <c r="A110" s="40" t="s">
        <v>133</v>
      </c>
      <c r="B110" s="8">
        <v>1356577</v>
      </c>
      <c r="C110" s="8">
        <f t="shared" si="8"/>
        <v>1700</v>
      </c>
      <c r="D110" s="8">
        <v>1.7</v>
      </c>
      <c r="E110" s="12">
        <v>21</v>
      </c>
      <c r="F110" s="14">
        <v>24</v>
      </c>
      <c r="G110" s="15">
        <v>24</v>
      </c>
      <c r="H110" s="9">
        <f>12096/1000000</f>
        <v>0.012096</v>
      </c>
      <c r="I110" s="16" t="s">
        <v>127</v>
      </c>
      <c r="J110" s="22"/>
    </row>
    <row r="111" spans="1:10" ht="30">
      <c r="A111" s="40" t="s">
        <v>134</v>
      </c>
      <c r="B111" s="8">
        <v>1351443</v>
      </c>
      <c r="C111" s="8">
        <f t="shared" si="8"/>
        <v>1860</v>
      </c>
      <c r="D111" s="8">
        <v>1.86</v>
      </c>
      <c r="E111" s="12">
        <v>21</v>
      </c>
      <c r="F111" s="14">
        <v>24</v>
      </c>
      <c r="G111" s="15">
        <v>24</v>
      </c>
      <c r="H111" s="9">
        <f>12096/1000000</f>
        <v>0.012096</v>
      </c>
      <c r="I111" s="16" t="s">
        <v>127</v>
      </c>
      <c r="J111" s="22"/>
    </row>
    <row r="112" spans="1:10" ht="30">
      <c r="A112" s="40" t="s">
        <v>135</v>
      </c>
      <c r="B112" s="8">
        <v>1351435</v>
      </c>
      <c r="C112" s="8">
        <f t="shared" si="8"/>
        <v>3406</v>
      </c>
      <c r="D112" s="8">
        <v>3.406</v>
      </c>
      <c r="E112" s="12">
        <v>37</v>
      </c>
      <c r="F112" s="14">
        <v>27</v>
      </c>
      <c r="G112" s="15">
        <v>15</v>
      </c>
      <c r="H112" s="9">
        <f>14985/1000000</f>
        <v>0.014985</v>
      </c>
      <c r="I112" s="16" t="s">
        <v>127</v>
      </c>
      <c r="J112" s="22"/>
    </row>
    <row r="113" spans="1:10" ht="30">
      <c r="A113" s="40" t="s">
        <v>136</v>
      </c>
      <c r="B113" s="8">
        <v>1353780</v>
      </c>
      <c r="C113" s="8">
        <f t="shared" si="8"/>
        <v>240</v>
      </c>
      <c r="D113" s="8">
        <v>0.24</v>
      </c>
      <c r="E113" s="12">
        <v>21</v>
      </c>
      <c r="F113" s="14">
        <v>15</v>
      </c>
      <c r="G113" s="15" t="s">
        <v>137</v>
      </c>
      <c r="H113" s="9">
        <v>0</v>
      </c>
      <c r="I113" s="16" t="s">
        <v>12</v>
      </c>
      <c r="J113" s="22" t="s">
        <v>138</v>
      </c>
    </row>
    <row r="114" spans="1:10" ht="30">
      <c r="A114" s="40" t="s">
        <v>139</v>
      </c>
      <c r="B114" s="8">
        <v>1353764</v>
      </c>
      <c r="C114" s="8">
        <f t="shared" si="8"/>
        <v>450</v>
      </c>
      <c r="D114" s="8">
        <v>0.45</v>
      </c>
      <c r="E114" s="12">
        <v>29.7</v>
      </c>
      <c r="F114" s="14">
        <v>21</v>
      </c>
      <c r="G114" s="15" t="s">
        <v>137</v>
      </c>
      <c r="H114" s="9">
        <v>0</v>
      </c>
      <c r="I114" s="16" t="s">
        <v>12</v>
      </c>
      <c r="J114" s="22" t="s">
        <v>138</v>
      </c>
    </row>
    <row r="115" spans="1:10" ht="15">
      <c r="A115" s="40" t="s">
        <v>140</v>
      </c>
      <c r="B115" s="8">
        <v>1353772</v>
      </c>
      <c r="C115" s="8">
        <f t="shared" si="8"/>
        <v>50</v>
      </c>
      <c r="D115" s="8">
        <v>0.05</v>
      </c>
      <c r="E115" s="12">
        <v>15.1</v>
      </c>
      <c r="F115" s="14">
        <v>10.1</v>
      </c>
      <c r="G115" s="15">
        <v>0.5</v>
      </c>
      <c r="H115" s="9">
        <f>76.255/1000000</f>
        <v>7.6255E-05</v>
      </c>
      <c r="I115" s="16" t="s">
        <v>12</v>
      </c>
      <c r="J115" s="22"/>
    </row>
    <row r="116" spans="1:10" ht="30">
      <c r="A116" s="40" t="s">
        <v>141</v>
      </c>
      <c r="B116" s="8">
        <v>1353810</v>
      </c>
      <c r="C116" s="8">
        <f t="shared" si="8"/>
        <v>450</v>
      </c>
      <c r="D116" s="8">
        <v>0.45</v>
      </c>
      <c r="E116" s="12">
        <v>15</v>
      </c>
      <c r="F116" s="14">
        <v>10.5</v>
      </c>
      <c r="G116" s="15" t="s">
        <v>137</v>
      </c>
      <c r="H116" s="9">
        <v>0</v>
      </c>
      <c r="I116" s="16" t="s">
        <v>142</v>
      </c>
      <c r="J116" s="22" t="s">
        <v>138</v>
      </c>
    </row>
    <row r="117" spans="1:10" ht="30">
      <c r="A117" s="40" t="s">
        <v>143</v>
      </c>
      <c r="B117" s="8">
        <v>1353829</v>
      </c>
      <c r="C117" s="8">
        <f t="shared" si="8"/>
        <v>110</v>
      </c>
      <c r="D117" s="8">
        <v>0.11</v>
      </c>
      <c r="E117" s="12">
        <v>15</v>
      </c>
      <c r="F117" s="14">
        <v>10.5</v>
      </c>
      <c r="G117" s="15" t="s">
        <v>137</v>
      </c>
      <c r="H117" s="9">
        <v>0</v>
      </c>
      <c r="I117" s="16" t="s">
        <v>144</v>
      </c>
      <c r="J117" s="22" t="s">
        <v>138</v>
      </c>
    </row>
    <row r="118" spans="1:10" ht="15">
      <c r="A118" s="40" t="s">
        <v>145</v>
      </c>
      <c r="B118" s="8">
        <v>964409</v>
      </c>
      <c r="C118" s="8">
        <f t="shared" si="8"/>
        <v>3130</v>
      </c>
      <c r="D118" s="8">
        <v>3.13</v>
      </c>
      <c r="E118" s="12">
        <v>12</v>
      </c>
      <c r="F118" s="14">
        <v>28.4</v>
      </c>
      <c r="G118" s="15">
        <v>17</v>
      </c>
      <c r="H118" s="9">
        <f>5793.6/1000000</f>
        <v>0.0057936</v>
      </c>
      <c r="I118" s="16" t="s">
        <v>146</v>
      </c>
      <c r="J118" s="22"/>
    </row>
    <row r="119" spans="1:10" ht="45">
      <c r="A119" s="40" t="s">
        <v>147</v>
      </c>
      <c r="B119" s="8">
        <v>934062</v>
      </c>
      <c r="C119" s="8">
        <f t="shared" si="8"/>
        <v>13120000</v>
      </c>
      <c r="D119" s="8">
        <v>13120</v>
      </c>
      <c r="E119" s="12">
        <v>60.5</v>
      </c>
      <c r="F119" s="14">
        <v>20</v>
      </c>
      <c r="G119" s="15" t="s">
        <v>137</v>
      </c>
      <c r="H119" s="9">
        <v>0</v>
      </c>
      <c r="I119" s="16" t="s">
        <v>148</v>
      </c>
      <c r="J119" s="22" t="s">
        <v>149</v>
      </c>
    </row>
    <row r="120" spans="1:10" ht="15">
      <c r="A120" s="40" t="s">
        <v>150</v>
      </c>
      <c r="B120" s="8">
        <v>1153560</v>
      </c>
      <c r="C120" s="8">
        <f t="shared" si="8"/>
        <v>4700</v>
      </c>
      <c r="D120" s="8">
        <v>4.7</v>
      </c>
      <c r="E120" s="12">
        <v>22.5</v>
      </c>
      <c r="F120" s="14">
        <v>20</v>
      </c>
      <c r="G120" s="15">
        <v>16</v>
      </c>
      <c r="H120" s="9">
        <f>7200/1000000</f>
        <v>0.0072</v>
      </c>
      <c r="I120" s="16" t="s">
        <v>151</v>
      </c>
      <c r="J120" s="22"/>
    </row>
    <row r="121" spans="1:10" ht="15">
      <c r="A121" s="40" t="s">
        <v>152</v>
      </c>
      <c r="B121" s="8">
        <v>965405</v>
      </c>
      <c r="C121" s="8">
        <f t="shared" si="8"/>
        <v>3380</v>
      </c>
      <c r="D121" s="8">
        <v>3.38</v>
      </c>
      <c r="E121" s="12">
        <v>4.8</v>
      </c>
      <c r="F121" s="14">
        <v>8.2</v>
      </c>
      <c r="G121" s="15">
        <v>6</v>
      </c>
      <c r="H121" s="9">
        <f>236.16/1000000</f>
        <v>0.00023616</v>
      </c>
      <c r="I121" s="16" t="s">
        <v>153</v>
      </c>
      <c r="J121" s="22"/>
    </row>
    <row r="122" spans="1:10" ht="15">
      <c r="A122" s="40" t="s">
        <v>154</v>
      </c>
      <c r="B122" s="8">
        <v>739456</v>
      </c>
      <c r="C122" s="8">
        <f t="shared" si="8"/>
        <v>850</v>
      </c>
      <c r="D122" s="8">
        <v>0.85</v>
      </c>
      <c r="E122" s="12">
        <v>34</v>
      </c>
      <c r="F122" s="14">
        <v>32.5</v>
      </c>
      <c r="G122" s="15">
        <v>21</v>
      </c>
      <c r="H122" s="9">
        <f>23205/1000000</f>
        <v>0.023205</v>
      </c>
      <c r="I122" s="16" t="s">
        <v>12</v>
      </c>
      <c r="J122" s="22"/>
    </row>
    <row r="123" spans="1:10" ht="15">
      <c r="A123" s="40" t="s">
        <v>155</v>
      </c>
      <c r="B123" s="8">
        <v>1165127</v>
      </c>
      <c r="C123" s="8">
        <f t="shared" si="8"/>
        <v>500</v>
      </c>
      <c r="D123" s="8">
        <v>0.5</v>
      </c>
      <c r="E123" s="12">
        <v>17.5</v>
      </c>
      <c r="F123" s="14">
        <v>9</v>
      </c>
      <c r="G123" s="15">
        <v>6</v>
      </c>
      <c r="H123" s="9">
        <f>945/1000000</f>
        <v>0.000945</v>
      </c>
      <c r="I123" s="16" t="s">
        <v>156</v>
      </c>
      <c r="J123" s="22"/>
    </row>
    <row r="124" spans="1:10" ht="15">
      <c r="A124" s="40" t="s">
        <v>157</v>
      </c>
      <c r="B124" s="8">
        <v>966762</v>
      </c>
      <c r="C124" s="8">
        <f t="shared" si="8"/>
        <v>220</v>
      </c>
      <c r="D124" s="8">
        <v>0.22</v>
      </c>
      <c r="E124" s="12">
        <v>36</v>
      </c>
      <c r="F124" s="14">
        <v>25</v>
      </c>
      <c r="G124" s="15">
        <v>13.5</v>
      </c>
      <c r="H124" s="9">
        <f>12150/1000000</f>
        <v>0.01215</v>
      </c>
      <c r="I124" s="16" t="s">
        <v>158</v>
      </c>
      <c r="J124" s="22"/>
    </row>
    <row r="125" spans="1:10" ht="15">
      <c r="A125" s="40" t="s">
        <v>159</v>
      </c>
      <c r="B125" s="8">
        <v>1350234</v>
      </c>
      <c r="C125" s="8">
        <f t="shared" si="8"/>
        <v>670</v>
      </c>
      <c r="D125" s="8">
        <v>0.67</v>
      </c>
      <c r="E125" s="12">
        <v>18</v>
      </c>
      <c r="F125" s="14">
        <v>37</v>
      </c>
      <c r="G125" s="15">
        <v>54</v>
      </c>
      <c r="H125" s="9">
        <f>35964/1000000</f>
        <v>0.035964</v>
      </c>
      <c r="I125" s="16" t="s">
        <v>160</v>
      </c>
      <c r="J125" s="22"/>
    </row>
    <row r="126" spans="1:10" ht="15">
      <c r="A126" s="40" t="s">
        <v>161</v>
      </c>
      <c r="B126" s="8">
        <v>1350269</v>
      </c>
      <c r="C126" s="8">
        <f t="shared" si="8"/>
        <v>670</v>
      </c>
      <c r="D126" s="8">
        <v>0.67</v>
      </c>
      <c r="E126" s="12">
        <v>46</v>
      </c>
      <c r="F126" s="14">
        <v>35</v>
      </c>
      <c r="G126" s="15">
        <v>27</v>
      </c>
      <c r="H126" s="9">
        <f>43470/1000000</f>
        <v>0.04347</v>
      </c>
      <c r="I126" s="16" t="s">
        <v>162</v>
      </c>
      <c r="J126" s="22"/>
    </row>
    <row r="127" spans="1:10" ht="15">
      <c r="A127" s="40" t="s">
        <v>163</v>
      </c>
      <c r="B127" s="8">
        <v>1350250</v>
      </c>
      <c r="C127" s="8">
        <f t="shared" si="8"/>
        <v>670</v>
      </c>
      <c r="D127" s="8">
        <v>0.67</v>
      </c>
      <c r="E127" s="12">
        <v>50</v>
      </c>
      <c r="F127" s="14">
        <v>50</v>
      </c>
      <c r="G127" s="15">
        <v>50</v>
      </c>
      <c r="H127" s="9">
        <f>125000/1000000</f>
        <v>0.125</v>
      </c>
      <c r="I127" s="16" t="s">
        <v>153</v>
      </c>
      <c r="J127" s="22"/>
    </row>
    <row r="128" spans="1:10" ht="15">
      <c r="A128" s="40" t="s">
        <v>164</v>
      </c>
      <c r="B128" s="8">
        <v>1350340</v>
      </c>
      <c r="C128" s="8">
        <f t="shared" si="8"/>
        <v>670</v>
      </c>
      <c r="D128" s="8">
        <v>0.67</v>
      </c>
      <c r="E128" s="12">
        <v>56</v>
      </c>
      <c r="F128" s="14">
        <v>45</v>
      </c>
      <c r="G128" s="15">
        <v>27</v>
      </c>
      <c r="H128" s="9">
        <f>68040/1000000</f>
        <v>0.06804</v>
      </c>
      <c r="I128" s="16" t="s">
        <v>162</v>
      </c>
      <c r="J128" s="22"/>
    </row>
    <row r="129" spans="1:10" ht="15">
      <c r="A129" s="40" t="s">
        <v>165</v>
      </c>
      <c r="B129" s="8">
        <v>966738</v>
      </c>
      <c r="C129" s="8">
        <f t="shared" si="8"/>
        <v>360</v>
      </c>
      <c r="D129" s="8">
        <v>0.36</v>
      </c>
      <c r="E129" s="12">
        <v>25.5</v>
      </c>
      <c r="F129" s="14">
        <v>36</v>
      </c>
      <c r="G129" s="15">
        <v>4.7</v>
      </c>
      <c r="H129" s="9">
        <f>4314.6/1000000</f>
        <v>0.0043146</v>
      </c>
      <c r="I129" s="16" t="s">
        <v>166</v>
      </c>
      <c r="J129" s="22"/>
    </row>
    <row r="130" spans="1:10" ht="15">
      <c r="A130" s="40" t="s">
        <v>167</v>
      </c>
      <c r="B130" s="8">
        <v>1348159</v>
      </c>
      <c r="C130" s="8">
        <f t="shared" si="8"/>
        <v>690</v>
      </c>
      <c r="D130" s="8">
        <v>0.69</v>
      </c>
      <c r="E130" s="12">
        <v>21.5</v>
      </c>
      <c r="F130" s="14">
        <v>32</v>
      </c>
      <c r="G130" s="15">
        <v>21.5</v>
      </c>
      <c r="H130" s="9">
        <f>14792/1000000</f>
        <v>0.014792</v>
      </c>
      <c r="I130" s="16" t="s">
        <v>12</v>
      </c>
      <c r="J130" s="22"/>
    </row>
    <row r="131" spans="1:10" ht="15">
      <c r="A131" s="40" t="s">
        <v>168</v>
      </c>
      <c r="B131" s="8">
        <v>1170082</v>
      </c>
      <c r="C131" s="8">
        <f t="shared" si="8"/>
        <v>540</v>
      </c>
      <c r="D131" s="8">
        <v>0.54</v>
      </c>
      <c r="E131" s="12">
        <v>14.5</v>
      </c>
      <c r="F131" s="14">
        <v>10.2</v>
      </c>
      <c r="G131" s="15">
        <v>10.6</v>
      </c>
      <c r="H131" s="9">
        <f>1567.74/1000000</f>
        <v>0.00156774</v>
      </c>
      <c r="I131" s="16" t="s">
        <v>169</v>
      </c>
      <c r="J131" s="22"/>
    </row>
    <row r="132" spans="1:10" ht="15">
      <c r="A132" s="40" t="s">
        <v>170</v>
      </c>
      <c r="B132" s="8">
        <v>1170104</v>
      </c>
      <c r="C132" s="8">
        <f t="shared" si="8"/>
        <v>300</v>
      </c>
      <c r="D132" s="8">
        <v>0.3</v>
      </c>
      <c r="E132" s="12">
        <v>15.2</v>
      </c>
      <c r="F132" s="14">
        <v>7.4</v>
      </c>
      <c r="G132" s="15">
        <v>7.4</v>
      </c>
      <c r="H132" s="9">
        <f>832.352/1000000</f>
        <v>0.000832352</v>
      </c>
      <c r="I132" s="16" t="s">
        <v>171</v>
      </c>
      <c r="J132" s="22"/>
    </row>
    <row r="133" spans="1:10" ht="15">
      <c r="A133" s="40" t="s">
        <v>172</v>
      </c>
      <c r="B133" s="8">
        <v>1170090</v>
      </c>
      <c r="C133" s="8">
        <f t="shared" si="8"/>
        <v>280</v>
      </c>
      <c r="D133" s="8">
        <v>0.28</v>
      </c>
      <c r="E133" s="12">
        <v>14.5</v>
      </c>
      <c r="F133" s="14">
        <v>7.9</v>
      </c>
      <c r="G133" s="15">
        <v>7.5</v>
      </c>
      <c r="H133" s="9">
        <f>859.125/1000000</f>
        <v>0.000859125</v>
      </c>
      <c r="I133" s="16" t="s">
        <v>171</v>
      </c>
      <c r="J133" s="22"/>
    </row>
    <row r="134" spans="1:10" ht="15">
      <c r="A134" s="40" t="s">
        <v>173</v>
      </c>
      <c r="B134" s="8">
        <v>1153609</v>
      </c>
      <c r="C134" s="8">
        <f t="shared" si="8"/>
        <v>60</v>
      </c>
      <c r="D134" s="8">
        <v>0.06</v>
      </c>
      <c r="E134" s="12">
        <v>16</v>
      </c>
      <c r="F134" s="14">
        <v>5.6</v>
      </c>
      <c r="G134" s="15">
        <v>2</v>
      </c>
      <c r="H134" s="9">
        <f>179.2/1000000</f>
        <v>0.0001792</v>
      </c>
      <c r="I134" s="16" t="s">
        <v>174</v>
      </c>
      <c r="J134" s="22"/>
    </row>
    <row r="135" spans="1:10" ht="15">
      <c r="A135" s="40" t="s">
        <v>175</v>
      </c>
      <c r="B135" s="8">
        <v>1153625</v>
      </c>
      <c r="C135" s="8">
        <f t="shared" si="8"/>
        <v>60</v>
      </c>
      <c r="D135" s="8">
        <v>0.06</v>
      </c>
      <c r="E135" s="12">
        <v>16</v>
      </c>
      <c r="F135" s="14">
        <v>5.6</v>
      </c>
      <c r="G135" s="15">
        <v>2</v>
      </c>
      <c r="H135" s="9">
        <f>179.2/1000000</f>
        <v>0.0001792</v>
      </c>
      <c r="I135" s="16" t="s">
        <v>174</v>
      </c>
      <c r="J135" s="22"/>
    </row>
    <row r="136" spans="1:10" ht="15">
      <c r="A136" s="40" t="s">
        <v>176</v>
      </c>
      <c r="B136" s="8">
        <v>1350676</v>
      </c>
      <c r="C136" s="8">
        <f t="shared" si="8"/>
        <v>60</v>
      </c>
      <c r="D136" s="8">
        <v>0.06</v>
      </c>
      <c r="E136" s="12">
        <v>36</v>
      </c>
      <c r="F136" s="14">
        <v>26.5</v>
      </c>
      <c r="G136" s="15">
        <v>1.8</v>
      </c>
      <c r="H136" s="9">
        <f>1566/1000000</f>
        <v>0.001566</v>
      </c>
      <c r="I136" s="16" t="s">
        <v>177</v>
      </c>
      <c r="J136" s="22"/>
    </row>
    <row r="137" spans="1:10" ht="15">
      <c r="A137" s="40" t="s">
        <v>178</v>
      </c>
      <c r="B137" s="8">
        <v>1353837</v>
      </c>
      <c r="C137" s="8">
        <f t="shared" si="8"/>
        <v>50</v>
      </c>
      <c r="D137" s="8">
        <v>0.05</v>
      </c>
      <c r="E137" s="12">
        <v>34.8</v>
      </c>
      <c r="F137" s="14">
        <v>25</v>
      </c>
      <c r="G137" s="15">
        <v>1.8</v>
      </c>
      <c r="H137" s="9">
        <f>1566/1000000</f>
        <v>0.001566</v>
      </c>
      <c r="I137" s="16" t="s">
        <v>179</v>
      </c>
      <c r="J137" s="22"/>
    </row>
    <row r="138" spans="1:10" ht="15">
      <c r="A138" s="40" t="s">
        <v>180</v>
      </c>
      <c r="B138" s="8">
        <v>1353853</v>
      </c>
      <c r="C138" s="8">
        <f t="shared" si="8"/>
        <v>60</v>
      </c>
      <c r="D138" s="8">
        <v>0.06</v>
      </c>
      <c r="E138" s="12">
        <v>35</v>
      </c>
      <c r="F138" s="14">
        <v>53</v>
      </c>
      <c r="G138" s="15">
        <v>3.6</v>
      </c>
      <c r="H138" s="9">
        <f>6678/1000000</f>
        <v>0.006678</v>
      </c>
      <c r="I138" s="16" t="s">
        <v>181</v>
      </c>
      <c r="J138" s="22"/>
    </row>
    <row r="139" spans="1:10" ht="15">
      <c r="A139" s="40" t="s">
        <v>182</v>
      </c>
      <c r="B139" s="8">
        <v>1353861</v>
      </c>
      <c r="C139" s="8">
        <f t="shared" si="8"/>
        <v>60</v>
      </c>
      <c r="D139" s="8">
        <v>0.06</v>
      </c>
      <c r="E139" s="12">
        <v>52</v>
      </c>
      <c r="F139" s="14">
        <v>34.5</v>
      </c>
      <c r="G139" s="15">
        <v>3.6</v>
      </c>
      <c r="H139" s="9">
        <f>6678/1000000</f>
        <v>0.006678</v>
      </c>
      <c r="I139" s="16" t="s">
        <v>181</v>
      </c>
      <c r="J139" s="22"/>
    </row>
    <row r="140" spans="1:10" ht="15">
      <c r="A140" s="40" t="s">
        <v>183</v>
      </c>
      <c r="B140" s="8">
        <v>1353870</v>
      </c>
      <c r="C140" s="8">
        <f t="shared" si="8"/>
        <v>50</v>
      </c>
      <c r="D140" s="8">
        <v>0.05</v>
      </c>
      <c r="E140" s="12">
        <v>35</v>
      </c>
      <c r="F140" s="14">
        <v>53</v>
      </c>
      <c r="G140" s="15">
        <v>1.8</v>
      </c>
      <c r="H140" s="9">
        <f>1566/1000000</f>
        <v>0.001566</v>
      </c>
      <c r="I140" s="16" t="s">
        <v>184</v>
      </c>
      <c r="J140" s="22"/>
    </row>
    <row r="141" spans="1:10" ht="15">
      <c r="A141" s="40" t="s">
        <v>185</v>
      </c>
      <c r="B141" s="8">
        <v>1353918</v>
      </c>
      <c r="C141" s="8">
        <f t="shared" si="8"/>
        <v>50</v>
      </c>
      <c r="D141" s="8">
        <v>0.05</v>
      </c>
      <c r="E141" s="12">
        <v>35</v>
      </c>
      <c r="F141" s="14">
        <v>53</v>
      </c>
      <c r="G141" s="15">
        <v>1.8</v>
      </c>
      <c r="H141" s="9">
        <f>1566/1000000</f>
        <v>0.001566</v>
      </c>
      <c r="I141" s="16" t="s">
        <v>184</v>
      </c>
      <c r="J141" s="22"/>
    </row>
    <row r="142" spans="1:10" ht="15">
      <c r="A142" s="40" t="s">
        <v>186</v>
      </c>
      <c r="B142" s="8">
        <v>1353896</v>
      </c>
      <c r="C142" s="8">
        <f t="shared" si="8"/>
        <v>60</v>
      </c>
      <c r="D142" s="8">
        <v>0.06</v>
      </c>
      <c r="E142" s="12">
        <v>35</v>
      </c>
      <c r="F142" s="14">
        <v>53</v>
      </c>
      <c r="G142" s="15">
        <v>1.8</v>
      </c>
      <c r="H142" s="9">
        <f>1566/1000000</f>
        <v>0.001566</v>
      </c>
      <c r="I142" s="16" t="s">
        <v>184</v>
      </c>
      <c r="J142" s="22"/>
    </row>
    <row r="143" spans="1:10" ht="15">
      <c r="A143" s="40" t="s">
        <v>187</v>
      </c>
      <c r="B143" s="8">
        <v>1353900</v>
      </c>
      <c r="C143" s="8">
        <f t="shared" si="8"/>
        <v>1470</v>
      </c>
      <c r="D143" s="8">
        <v>1.47</v>
      </c>
      <c r="E143" s="12">
        <v>10.5</v>
      </c>
      <c r="F143" s="14">
        <v>15</v>
      </c>
      <c r="G143" s="15">
        <v>11.7</v>
      </c>
      <c r="H143" s="9">
        <f>1842.75/1000000</f>
        <v>0.00184275</v>
      </c>
      <c r="I143" s="16" t="s">
        <v>188</v>
      </c>
      <c r="J143" s="22"/>
    </row>
    <row r="144" spans="1:10" ht="15">
      <c r="A144" s="40" t="s">
        <v>189</v>
      </c>
      <c r="B144" s="8">
        <v>116351</v>
      </c>
      <c r="C144" s="8">
        <f t="shared" si="8"/>
        <v>60</v>
      </c>
      <c r="D144" s="8">
        <v>0.06</v>
      </c>
      <c r="E144" s="12">
        <v>12.5</v>
      </c>
      <c r="F144" s="14">
        <v>14.2</v>
      </c>
      <c r="G144" s="15">
        <v>0.6</v>
      </c>
      <c r="H144" s="9">
        <f>106.5/1000000</f>
        <v>0.0001065</v>
      </c>
      <c r="I144" s="16" t="s">
        <v>190</v>
      </c>
      <c r="J144" s="22"/>
    </row>
    <row r="145" spans="1:10" ht="15">
      <c r="A145" s="40" t="s">
        <v>191</v>
      </c>
      <c r="B145" s="8">
        <v>691380</v>
      </c>
      <c r="C145" s="8">
        <f t="shared" si="8"/>
        <v>60</v>
      </c>
      <c r="D145" s="8">
        <v>0.06</v>
      </c>
      <c r="E145" s="12">
        <v>12.5</v>
      </c>
      <c r="F145" s="14">
        <v>14.2</v>
      </c>
      <c r="G145" s="15">
        <v>0.6</v>
      </c>
      <c r="H145" s="9">
        <f>106.5/1000000</f>
        <v>0.0001065</v>
      </c>
      <c r="I145" s="16" t="s">
        <v>190</v>
      </c>
      <c r="J145" s="22"/>
    </row>
    <row r="146" spans="1:10" ht="15">
      <c r="A146" s="40" t="s">
        <v>192</v>
      </c>
      <c r="B146" s="8">
        <v>966924</v>
      </c>
      <c r="C146" s="8">
        <f t="shared" si="8"/>
        <v>80</v>
      </c>
      <c r="D146" s="8">
        <v>0.08</v>
      </c>
      <c r="E146" s="12">
        <v>6.5</v>
      </c>
      <c r="F146" s="14">
        <v>6</v>
      </c>
      <c r="G146" s="15">
        <v>2.3</v>
      </c>
      <c r="H146" s="9">
        <f>89.7/1000000</f>
        <v>8.97E-05</v>
      </c>
      <c r="I146" s="16" t="s">
        <v>193</v>
      </c>
      <c r="J146" s="22"/>
    </row>
    <row r="147" spans="1:10" ht="15">
      <c r="A147" s="40" t="s">
        <v>194</v>
      </c>
      <c r="B147" s="8">
        <v>966959</v>
      </c>
      <c r="C147" s="8">
        <f t="shared" si="8"/>
        <v>120</v>
      </c>
      <c r="D147" s="8">
        <v>0.12</v>
      </c>
      <c r="E147" s="12">
        <v>9</v>
      </c>
      <c r="F147" s="14">
        <v>5.6</v>
      </c>
      <c r="G147" s="15">
        <v>3</v>
      </c>
      <c r="H147" s="9">
        <f>151.2/1000000</f>
        <v>0.0001512</v>
      </c>
      <c r="I147" s="16" t="s">
        <v>195</v>
      </c>
      <c r="J147" s="22"/>
    </row>
    <row r="148" spans="1:10" ht="15">
      <c r="A148" s="40" t="s">
        <v>196</v>
      </c>
      <c r="B148" s="8">
        <v>981320</v>
      </c>
      <c r="C148" s="8">
        <f t="shared" si="8"/>
        <v>330</v>
      </c>
      <c r="D148" s="8">
        <v>0.33</v>
      </c>
      <c r="E148" s="12">
        <v>21</v>
      </c>
      <c r="F148" s="14">
        <v>23.3</v>
      </c>
      <c r="G148" s="15">
        <v>23.3</v>
      </c>
      <c r="H148" s="9">
        <f>11400/1000000</f>
        <v>0.0114</v>
      </c>
      <c r="I148" s="16" t="s">
        <v>197</v>
      </c>
      <c r="J148" s="22"/>
    </row>
    <row r="149" spans="1:10" ht="15">
      <c r="A149" s="40" t="s">
        <v>198</v>
      </c>
      <c r="B149" s="8">
        <v>1153641</v>
      </c>
      <c r="C149" s="8">
        <f t="shared" si="8"/>
        <v>250</v>
      </c>
      <c r="D149" s="8">
        <v>0.25</v>
      </c>
      <c r="E149" s="12">
        <v>9</v>
      </c>
      <c r="F149" s="14">
        <v>7.8</v>
      </c>
      <c r="G149" s="15">
        <v>6</v>
      </c>
      <c r="H149" s="9">
        <f>421.2/1000000</f>
        <v>0.0004212</v>
      </c>
      <c r="I149" s="16" t="s">
        <v>199</v>
      </c>
      <c r="J149" s="22"/>
    </row>
    <row r="150" spans="1:10" ht="15">
      <c r="A150" s="40" t="s">
        <v>200</v>
      </c>
      <c r="B150" s="8">
        <v>1153633</v>
      </c>
      <c r="C150" s="8">
        <f t="shared" si="8"/>
        <v>720</v>
      </c>
      <c r="D150" s="8">
        <v>0.72</v>
      </c>
      <c r="E150" s="12">
        <v>13</v>
      </c>
      <c r="F150" s="14">
        <v>15.5</v>
      </c>
      <c r="G150" s="15">
        <v>5.5</v>
      </c>
      <c r="H150" s="9">
        <f>1108.25/1000000</f>
        <v>0.00110825</v>
      </c>
      <c r="I150" s="16" t="s">
        <v>201</v>
      </c>
      <c r="J150" s="22"/>
    </row>
    <row r="151" spans="1:10" ht="15">
      <c r="A151" s="40" t="s">
        <v>202</v>
      </c>
      <c r="B151" s="8">
        <v>96172</v>
      </c>
      <c r="C151" s="8">
        <f t="shared" si="8"/>
        <v>400</v>
      </c>
      <c r="D151" s="8">
        <v>0.4</v>
      </c>
      <c r="E151" s="12">
        <v>6.5</v>
      </c>
      <c r="F151" s="14">
        <v>7.5</v>
      </c>
      <c r="G151" s="15">
        <v>5.3</v>
      </c>
      <c r="H151" s="9">
        <f>258.375/1000000</f>
        <v>0.000258375</v>
      </c>
      <c r="I151" s="16" t="s">
        <v>203</v>
      </c>
      <c r="J151" s="22"/>
    </row>
    <row r="152" spans="1:10" ht="15">
      <c r="A152" s="40" t="s">
        <v>204</v>
      </c>
      <c r="B152" s="8">
        <v>109584</v>
      </c>
      <c r="C152" s="8">
        <f t="shared" si="8"/>
        <v>800</v>
      </c>
      <c r="D152" s="8">
        <v>0.8</v>
      </c>
      <c r="E152" s="12">
        <v>13</v>
      </c>
      <c r="F152" s="14">
        <v>7.5</v>
      </c>
      <c r="G152" s="15">
        <v>5.3</v>
      </c>
      <c r="H152" s="9">
        <f>516.75/1000000</f>
        <v>0.00051675</v>
      </c>
      <c r="I152" s="16" t="s">
        <v>205</v>
      </c>
      <c r="J152" s="22"/>
    </row>
    <row r="153" spans="1:10" ht="15">
      <c r="A153" s="40" t="s">
        <v>206</v>
      </c>
      <c r="B153" s="8">
        <v>1296272</v>
      </c>
      <c r="C153" s="8">
        <f t="shared" si="8"/>
        <v>400</v>
      </c>
      <c r="D153" s="8">
        <v>0.4</v>
      </c>
      <c r="E153" s="12">
        <v>16.4</v>
      </c>
      <c r="F153" s="14">
        <v>7</v>
      </c>
      <c r="G153" s="15">
        <v>5</v>
      </c>
      <c r="H153" s="9">
        <f>574/1000000</f>
        <v>0.000574</v>
      </c>
      <c r="I153" s="16" t="s">
        <v>174</v>
      </c>
      <c r="J153" s="22"/>
    </row>
    <row r="154" spans="1:10" ht="15">
      <c r="A154" s="40" t="s">
        <v>207</v>
      </c>
      <c r="B154" s="8">
        <v>161837</v>
      </c>
      <c r="C154" s="8">
        <f t="shared" si="8"/>
        <v>4760</v>
      </c>
      <c r="D154" s="8">
        <v>4.76</v>
      </c>
      <c r="E154" s="12">
        <v>23.5</v>
      </c>
      <c r="F154" s="14">
        <v>28.9</v>
      </c>
      <c r="G154" s="15">
        <v>21.5</v>
      </c>
      <c r="H154" s="9">
        <f>14601.725/1000000</f>
        <v>0.014601725000000001</v>
      </c>
      <c r="I154" s="16" t="s">
        <v>208</v>
      </c>
      <c r="J154" s="22"/>
    </row>
    <row r="155" spans="1:10" ht="15">
      <c r="A155" s="40" t="s">
        <v>209</v>
      </c>
      <c r="B155" s="8">
        <v>474509</v>
      </c>
      <c r="C155" s="8">
        <f t="shared" si="8"/>
        <v>160</v>
      </c>
      <c r="D155" s="8">
        <v>0.16</v>
      </c>
      <c r="E155" s="12">
        <v>36</v>
      </c>
      <c r="F155" s="14">
        <v>25</v>
      </c>
      <c r="G155" s="15">
        <v>26</v>
      </c>
      <c r="H155" s="9">
        <f>23400/1000000</f>
        <v>0.0234</v>
      </c>
      <c r="I155" s="16" t="s">
        <v>210</v>
      </c>
      <c r="J155" s="22"/>
    </row>
    <row r="156" spans="1:10" ht="15">
      <c r="A156" s="40" t="s">
        <v>211</v>
      </c>
      <c r="B156" s="8">
        <v>474517</v>
      </c>
      <c r="C156" s="8">
        <f t="shared" si="8"/>
        <v>5040</v>
      </c>
      <c r="D156" s="8">
        <v>5.04</v>
      </c>
      <c r="E156" s="12">
        <v>29</v>
      </c>
      <c r="F156" s="14">
        <v>16</v>
      </c>
      <c r="G156" s="15">
        <v>41</v>
      </c>
      <c r="H156" s="9">
        <f>19024/1000000</f>
        <v>0.019024</v>
      </c>
      <c r="I156" s="16" t="s">
        <v>212</v>
      </c>
      <c r="J156" s="22"/>
    </row>
    <row r="157" spans="1:10" ht="15">
      <c r="A157" s="40" t="s">
        <v>213</v>
      </c>
      <c r="B157" s="8">
        <v>129313</v>
      </c>
      <c r="C157" s="8">
        <f t="shared" si="8"/>
        <v>410</v>
      </c>
      <c r="D157" s="8">
        <v>0.41</v>
      </c>
      <c r="E157" s="12">
        <v>6.5</v>
      </c>
      <c r="F157" s="14">
        <v>11.2</v>
      </c>
      <c r="G157" s="15">
        <v>8.2</v>
      </c>
      <c r="H157" s="9">
        <f>596.96/1000000</f>
        <v>0.00059696</v>
      </c>
      <c r="I157" s="16" t="s">
        <v>174</v>
      </c>
      <c r="J157" s="22"/>
    </row>
    <row r="158" spans="1:10" ht="15">
      <c r="A158" s="40" t="s">
        <v>214</v>
      </c>
      <c r="B158" s="8">
        <v>867039</v>
      </c>
      <c r="C158" s="8">
        <f t="shared" si="8"/>
        <v>330</v>
      </c>
      <c r="D158" s="8">
        <v>0.33</v>
      </c>
      <c r="E158" s="12">
        <v>15.2</v>
      </c>
      <c r="F158" s="14">
        <v>7</v>
      </c>
      <c r="G158" s="15">
        <v>7</v>
      </c>
      <c r="H158" s="9">
        <f>744.8/1000000</f>
        <v>0.0007448</v>
      </c>
      <c r="I158" s="16" t="s">
        <v>174</v>
      </c>
      <c r="J158" s="22"/>
    </row>
    <row r="159" spans="1:10" ht="15">
      <c r="A159" s="40" t="s">
        <v>215</v>
      </c>
      <c r="B159" s="8">
        <v>74705</v>
      </c>
      <c r="C159" s="8">
        <f t="shared" si="8"/>
        <v>130</v>
      </c>
      <c r="D159" s="8">
        <v>0.13</v>
      </c>
      <c r="E159" s="12">
        <v>29.7</v>
      </c>
      <c r="F159" s="14">
        <v>21</v>
      </c>
      <c r="G159" s="15">
        <v>3.2</v>
      </c>
      <c r="H159" s="9">
        <f>1995.84/1000000</f>
        <v>0.00199584</v>
      </c>
      <c r="I159" s="16" t="s">
        <v>216</v>
      </c>
      <c r="J159" s="22"/>
    </row>
    <row r="160" spans="1:10" ht="15">
      <c r="A160" s="40" t="s">
        <v>217</v>
      </c>
      <c r="B160" s="8">
        <v>378178</v>
      </c>
      <c r="C160" s="8">
        <f t="shared" si="8"/>
        <v>60</v>
      </c>
      <c r="D160" s="8">
        <v>0.06</v>
      </c>
      <c r="E160" s="12">
        <v>14.2</v>
      </c>
      <c r="F160" s="14">
        <v>12.5</v>
      </c>
      <c r="G160" s="15">
        <v>0.6</v>
      </c>
      <c r="H160" s="9">
        <f>106.5/1000000</f>
        <v>0.0001065</v>
      </c>
      <c r="I160" s="16" t="s">
        <v>190</v>
      </c>
      <c r="J160" s="22"/>
    </row>
    <row r="161" spans="1:10" ht="15">
      <c r="A161" s="40" t="s">
        <v>218</v>
      </c>
      <c r="B161" s="8">
        <v>966983</v>
      </c>
      <c r="C161" s="8">
        <f t="shared" si="8"/>
        <v>21400</v>
      </c>
      <c r="D161" s="8">
        <v>21.4</v>
      </c>
      <c r="E161" s="12">
        <v>14</v>
      </c>
      <c r="F161" s="14">
        <v>59</v>
      </c>
      <c r="G161" s="15">
        <v>81</v>
      </c>
      <c r="H161" s="9">
        <f>66906/1000000</f>
        <v>0.066906</v>
      </c>
      <c r="I161" s="16" t="s">
        <v>219</v>
      </c>
      <c r="J161" s="22"/>
    </row>
    <row r="162" spans="1:10" ht="15">
      <c r="A162" s="40" t="s">
        <v>220</v>
      </c>
      <c r="B162" s="8">
        <v>1354426</v>
      </c>
      <c r="C162" s="8">
        <f aca="true" t="shared" si="9" ref="C162:C183">D162*1000</f>
        <v>450</v>
      </c>
      <c r="D162" s="8">
        <v>0.45</v>
      </c>
      <c r="E162" s="12">
        <v>11.3</v>
      </c>
      <c r="F162" s="14">
        <v>23.8</v>
      </c>
      <c r="G162" s="15">
        <v>4</v>
      </c>
      <c r="H162" s="9">
        <f>1075.76/1000000</f>
        <v>0.00107576</v>
      </c>
      <c r="I162" s="16" t="s">
        <v>221</v>
      </c>
      <c r="J162" s="22"/>
    </row>
    <row r="163" spans="1:10" ht="15">
      <c r="A163" s="40" t="s">
        <v>222</v>
      </c>
      <c r="B163" s="8">
        <v>1354710</v>
      </c>
      <c r="C163" s="8">
        <f t="shared" si="9"/>
        <v>460</v>
      </c>
      <c r="D163" s="8">
        <v>0.46</v>
      </c>
      <c r="E163" s="12">
        <v>11.3</v>
      </c>
      <c r="F163" s="14">
        <v>23.8</v>
      </c>
      <c r="G163" s="15">
        <v>4.7</v>
      </c>
      <c r="H163" s="9">
        <f>1264.018/1000000</f>
        <v>0.001264018</v>
      </c>
      <c r="I163" s="16" t="s">
        <v>223</v>
      </c>
      <c r="J163" s="22"/>
    </row>
    <row r="164" spans="1:10" ht="15">
      <c r="A164" s="40" t="s">
        <v>224</v>
      </c>
      <c r="B164" s="8">
        <v>1354566</v>
      </c>
      <c r="C164" s="8">
        <f t="shared" si="9"/>
        <v>140</v>
      </c>
      <c r="D164" s="8">
        <v>0.14</v>
      </c>
      <c r="E164" s="12">
        <v>16.3</v>
      </c>
      <c r="F164" s="14">
        <v>11.3</v>
      </c>
      <c r="G164" s="15">
        <v>3.2</v>
      </c>
      <c r="H164" s="9">
        <f>583.8/1000000</f>
        <v>0.0005838</v>
      </c>
      <c r="I164" s="16" t="s">
        <v>142</v>
      </c>
      <c r="J164" s="22"/>
    </row>
    <row r="165" spans="1:10" ht="15">
      <c r="A165" s="40" t="s">
        <v>225</v>
      </c>
      <c r="B165" s="8">
        <v>1354574</v>
      </c>
      <c r="C165" s="8">
        <f t="shared" si="9"/>
        <v>300</v>
      </c>
      <c r="D165" s="8">
        <v>0.3</v>
      </c>
      <c r="E165" s="12">
        <v>11.5</v>
      </c>
      <c r="F165" s="14">
        <v>16.4</v>
      </c>
      <c r="G165" s="15">
        <v>4.2</v>
      </c>
      <c r="H165" s="9">
        <f>792.12/1000000</f>
        <v>0.00079212</v>
      </c>
      <c r="I165" s="16" t="s">
        <v>226</v>
      </c>
      <c r="J165" s="22"/>
    </row>
    <row r="166" spans="1:10" ht="30">
      <c r="A166" s="40" t="s">
        <v>227</v>
      </c>
      <c r="B166" s="8">
        <v>422525</v>
      </c>
      <c r="C166" s="8">
        <f t="shared" si="9"/>
        <v>410</v>
      </c>
      <c r="D166" s="8">
        <v>0.41</v>
      </c>
      <c r="E166" s="12">
        <v>23</v>
      </c>
      <c r="F166" s="14">
        <v>14</v>
      </c>
      <c r="G166" s="15" t="s">
        <v>137</v>
      </c>
      <c r="H166" s="9">
        <v>0</v>
      </c>
      <c r="I166" s="16" t="s">
        <v>228</v>
      </c>
      <c r="J166" s="22" t="s">
        <v>138</v>
      </c>
    </row>
    <row r="167" spans="1:10" ht="30">
      <c r="A167" s="40" t="s">
        <v>229</v>
      </c>
      <c r="B167" s="8">
        <v>969001</v>
      </c>
      <c r="C167" s="8">
        <f t="shared" si="9"/>
        <v>650</v>
      </c>
      <c r="D167" s="8">
        <v>0.65</v>
      </c>
      <c r="E167" s="12">
        <v>22.9</v>
      </c>
      <c r="F167" s="14">
        <v>32.4</v>
      </c>
      <c r="G167" s="15" t="s">
        <v>137</v>
      </c>
      <c r="H167" s="9">
        <v>0</v>
      </c>
      <c r="I167" s="16" t="s">
        <v>142</v>
      </c>
      <c r="J167" s="22" t="s">
        <v>138</v>
      </c>
    </row>
    <row r="168" spans="1:10" ht="15">
      <c r="A168" s="40" t="s">
        <v>230</v>
      </c>
      <c r="B168" s="8">
        <v>1353934</v>
      </c>
      <c r="C168" s="8">
        <f t="shared" si="9"/>
        <v>890</v>
      </c>
      <c r="D168" s="8">
        <v>0.89</v>
      </c>
      <c r="E168" s="12">
        <v>28.5</v>
      </c>
      <c r="F168" s="14">
        <v>24.9</v>
      </c>
      <c r="G168" s="15">
        <v>6</v>
      </c>
      <c r="H168" s="9">
        <f>4257.9/1000000</f>
        <v>0.004257899999999999</v>
      </c>
      <c r="I168" s="17" t="s">
        <v>228</v>
      </c>
      <c r="J168" s="41"/>
    </row>
    <row r="169" spans="1:10" ht="15">
      <c r="A169" s="40" t="s">
        <v>231</v>
      </c>
      <c r="B169" s="8">
        <v>1353942</v>
      </c>
      <c r="C169" s="8">
        <f t="shared" si="9"/>
        <v>1420</v>
      </c>
      <c r="D169" s="8">
        <v>1.42</v>
      </c>
      <c r="E169" s="12">
        <v>23.1</v>
      </c>
      <c r="F169" s="14">
        <v>32.5</v>
      </c>
      <c r="G169" s="15">
        <v>5.5</v>
      </c>
      <c r="H169" s="9">
        <f>4129.125/1000000</f>
        <v>0.004129125</v>
      </c>
      <c r="I169" s="17" t="s">
        <v>232</v>
      </c>
      <c r="J169" s="41"/>
    </row>
    <row r="170" spans="1:10" ht="15">
      <c r="A170" s="40" t="s">
        <v>233</v>
      </c>
      <c r="B170" s="8">
        <v>1353950</v>
      </c>
      <c r="C170" s="8">
        <f t="shared" si="9"/>
        <v>650</v>
      </c>
      <c r="D170" s="8">
        <v>0.65</v>
      </c>
      <c r="E170" s="12">
        <v>23</v>
      </c>
      <c r="F170" s="14">
        <v>33</v>
      </c>
      <c r="G170" s="15">
        <v>2</v>
      </c>
      <c r="H170" s="9">
        <f>1518/1000000</f>
        <v>0.001518</v>
      </c>
      <c r="I170" s="17" t="s">
        <v>228</v>
      </c>
      <c r="J170" s="41"/>
    </row>
    <row r="171" spans="1:10" ht="15">
      <c r="A171" s="40" t="s">
        <v>234</v>
      </c>
      <c r="B171" s="8">
        <v>1354027</v>
      </c>
      <c r="C171" s="8">
        <f t="shared" si="9"/>
        <v>410</v>
      </c>
      <c r="D171" s="8">
        <v>0.41</v>
      </c>
      <c r="E171" s="12">
        <v>18.4</v>
      </c>
      <c r="F171" s="14">
        <v>24.8</v>
      </c>
      <c r="G171" s="15">
        <v>2.5</v>
      </c>
      <c r="H171" s="9">
        <f>1140.8/1000000</f>
        <v>0.0011408</v>
      </c>
      <c r="I171" s="17" t="s">
        <v>235</v>
      </c>
      <c r="J171" s="41"/>
    </row>
    <row r="172" spans="1:10" ht="15">
      <c r="A172" s="40" t="s">
        <v>236</v>
      </c>
      <c r="B172" s="8">
        <v>1354035</v>
      </c>
      <c r="C172" s="8">
        <f t="shared" si="9"/>
        <v>790</v>
      </c>
      <c r="D172" s="8">
        <v>0.79</v>
      </c>
      <c r="E172" s="12">
        <v>26</v>
      </c>
      <c r="F172" s="14">
        <v>36</v>
      </c>
      <c r="G172" s="15">
        <v>2.8</v>
      </c>
      <c r="H172" s="9">
        <f>2620.8/1000000</f>
        <v>0.0026208000000000004</v>
      </c>
      <c r="I172" s="17" t="s">
        <v>221</v>
      </c>
      <c r="J172" s="41"/>
    </row>
    <row r="173" spans="1:10" ht="15">
      <c r="A173" s="40" t="s">
        <v>237</v>
      </c>
      <c r="B173" s="8">
        <v>1354043</v>
      </c>
      <c r="C173" s="8">
        <f t="shared" si="9"/>
        <v>2440</v>
      </c>
      <c r="D173" s="8">
        <v>2.44</v>
      </c>
      <c r="E173" s="12">
        <v>33</v>
      </c>
      <c r="F173" s="14">
        <v>33.2</v>
      </c>
      <c r="G173" s="15">
        <v>3.6</v>
      </c>
      <c r="H173" s="9">
        <f>3944.16/1000000</f>
        <v>0.0039441599999999995</v>
      </c>
      <c r="I173" s="16" t="s">
        <v>238</v>
      </c>
      <c r="J173" s="22"/>
    </row>
    <row r="174" spans="1:10" ht="15">
      <c r="A174" s="40" t="s">
        <v>239</v>
      </c>
      <c r="B174" s="8">
        <v>970395</v>
      </c>
      <c r="C174" s="8">
        <f t="shared" si="9"/>
        <v>360</v>
      </c>
      <c r="D174" s="8">
        <v>0.36</v>
      </c>
      <c r="E174" s="12">
        <v>16</v>
      </c>
      <c r="F174" s="14">
        <v>12</v>
      </c>
      <c r="G174" s="15">
        <v>5.6</v>
      </c>
      <c r="H174" s="9">
        <f>1075.2/1000000</f>
        <v>0.0010752000000000001</v>
      </c>
      <c r="I174" s="17" t="s">
        <v>240</v>
      </c>
      <c r="J174" s="41"/>
    </row>
    <row r="175" spans="1:10" ht="15">
      <c r="A175" s="40" t="s">
        <v>241</v>
      </c>
      <c r="B175" s="8">
        <v>974242</v>
      </c>
      <c r="C175" s="8">
        <f t="shared" si="9"/>
        <v>1010</v>
      </c>
      <c r="D175" s="8">
        <v>1.01</v>
      </c>
      <c r="E175" s="12">
        <v>30.5</v>
      </c>
      <c r="F175" s="14">
        <v>22.2</v>
      </c>
      <c r="G175" s="15">
        <v>1.7</v>
      </c>
      <c r="H175" s="9">
        <f>1151.07/1000000</f>
        <v>0.00115107</v>
      </c>
      <c r="I175" s="17" t="s">
        <v>242</v>
      </c>
      <c r="J175" s="41"/>
    </row>
    <row r="176" spans="1:10" ht="15">
      <c r="A176" s="40" t="s">
        <v>243</v>
      </c>
      <c r="B176" s="8">
        <v>1349317</v>
      </c>
      <c r="C176" s="8">
        <f t="shared" si="9"/>
        <v>1010</v>
      </c>
      <c r="D176" s="8">
        <v>1.01</v>
      </c>
      <c r="E176" s="12">
        <v>30.9</v>
      </c>
      <c r="F176" s="14">
        <v>22.5</v>
      </c>
      <c r="G176" s="15">
        <v>2.7</v>
      </c>
      <c r="H176" s="9">
        <f>1877.175/1000000</f>
        <v>0.001877175</v>
      </c>
      <c r="I176" s="17" t="s">
        <v>244</v>
      </c>
      <c r="J176" s="41"/>
    </row>
    <row r="177" spans="1:10" ht="15">
      <c r="A177" s="40" t="s">
        <v>245</v>
      </c>
      <c r="B177" s="8">
        <v>1349376</v>
      </c>
      <c r="C177" s="8">
        <f t="shared" si="9"/>
        <v>1020</v>
      </c>
      <c r="D177" s="8">
        <v>1.02</v>
      </c>
      <c r="E177" s="12">
        <v>30.5</v>
      </c>
      <c r="F177" s="14">
        <v>22.2</v>
      </c>
      <c r="G177" s="15">
        <v>1.7</v>
      </c>
      <c r="H177" s="9">
        <f>1151.07/1000000</f>
        <v>0.00115107</v>
      </c>
      <c r="I177" s="17" t="s">
        <v>244</v>
      </c>
      <c r="J177" s="41"/>
    </row>
    <row r="178" spans="1:10" ht="15">
      <c r="A178" s="40" t="s">
        <v>246</v>
      </c>
      <c r="B178" s="8">
        <v>935786</v>
      </c>
      <c r="C178" s="8">
        <f t="shared" si="9"/>
        <v>1020</v>
      </c>
      <c r="D178" s="8">
        <v>1.02</v>
      </c>
      <c r="E178" s="12">
        <v>30.5</v>
      </c>
      <c r="F178" s="14">
        <v>22.2</v>
      </c>
      <c r="G178" s="15">
        <v>1.7</v>
      </c>
      <c r="H178" s="9">
        <f>1151.07/1000000</f>
        <v>0.00115107</v>
      </c>
      <c r="I178" s="17" t="s">
        <v>244</v>
      </c>
      <c r="J178" s="41"/>
    </row>
    <row r="179" spans="1:10" ht="15">
      <c r="A179" s="40" t="s">
        <v>247</v>
      </c>
      <c r="B179" s="8">
        <v>1350307</v>
      </c>
      <c r="C179" s="8">
        <f t="shared" si="9"/>
        <v>920</v>
      </c>
      <c r="D179" s="8">
        <v>0.92</v>
      </c>
      <c r="E179" s="12">
        <v>30.5</v>
      </c>
      <c r="F179" s="14">
        <v>22.2</v>
      </c>
      <c r="G179" s="15">
        <v>1.7</v>
      </c>
      <c r="H179" s="9">
        <f>1151.07/1000000</f>
        <v>0.00115107</v>
      </c>
      <c r="I179" s="17" t="s">
        <v>244</v>
      </c>
      <c r="J179" s="41"/>
    </row>
    <row r="180" spans="1:10" ht="15">
      <c r="A180" s="40" t="s">
        <v>248</v>
      </c>
      <c r="B180" s="8">
        <v>1001388</v>
      </c>
      <c r="C180" s="8">
        <f t="shared" si="9"/>
        <v>1080</v>
      </c>
      <c r="D180" s="8">
        <v>1.08</v>
      </c>
      <c r="E180" s="12">
        <v>31.2</v>
      </c>
      <c r="F180" s="14">
        <v>22.1</v>
      </c>
      <c r="G180" s="15">
        <v>1.8</v>
      </c>
      <c r="H180" s="9">
        <f>1241.136/1000000</f>
        <v>0.0012411359999999999</v>
      </c>
      <c r="I180" s="17" t="s">
        <v>244</v>
      </c>
      <c r="J180" s="41"/>
    </row>
    <row r="181" spans="1:10" ht="45">
      <c r="A181" s="40" t="s">
        <v>249</v>
      </c>
      <c r="B181" s="8">
        <v>982776</v>
      </c>
      <c r="C181" s="8">
        <f t="shared" si="9"/>
        <v>290</v>
      </c>
      <c r="D181" s="8">
        <v>0.29</v>
      </c>
      <c r="E181" s="12">
        <v>30.5</v>
      </c>
      <c r="F181" s="14">
        <v>22</v>
      </c>
      <c r="G181" s="15" t="s">
        <v>137</v>
      </c>
      <c r="H181" s="9">
        <v>0</v>
      </c>
      <c r="I181" s="17" t="s">
        <v>250</v>
      </c>
      <c r="J181" s="41" t="s">
        <v>251</v>
      </c>
    </row>
    <row r="182" spans="1:10" ht="15">
      <c r="A182" s="40" t="s">
        <v>252</v>
      </c>
      <c r="B182" s="8">
        <v>970450</v>
      </c>
      <c r="C182" s="8">
        <f t="shared" si="9"/>
        <v>180</v>
      </c>
      <c r="D182" s="8">
        <v>0.18</v>
      </c>
      <c r="E182" s="12">
        <v>4.5</v>
      </c>
      <c r="F182" s="14">
        <v>18</v>
      </c>
      <c r="G182" s="15">
        <v>2</v>
      </c>
      <c r="H182" s="9">
        <f>162/1000000</f>
        <v>0.000162</v>
      </c>
      <c r="I182" s="17" t="s">
        <v>253</v>
      </c>
      <c r="J182" s="41"/>
    </row>
    <row r="183" spans="1:10" ht="15">
      <c r="A183" s="40" t="s">
        <v>254</v>
      </c>
      <c r="B183" s="8">
        <v>56812</v>
      </c>
      <c r="C183" s="8">
        <f t="shared" si="9"/>
        <v>240</v>
      </c>
      <c r="D183" s="8">
        <v>0.24</v>
      </c>
      <c r="E183" s="12">
        <v>1.2</v>
      </c>
      <c r="F183" s="14">
        <v>16</v>
      </c>
      <c r="G183" s="15">
        <v>1.6</v>
      </c>
      <c r="H183" s="9">
        <f>30.72/1000000</f>
        <v>3.072E-05</v>
      </c>
      <c r="I183" s="17" t="s">
        <v>144</v>
      </c>
      <c r="J183" s="41"/>
    </row>
    <row r="184" spans="1:10" ht="30">
      <c r="A184" s="40" t="s">
        <v>255</v>
      </c>
      <c r="B184" s="8">
        <v>1354060</v>
      </c>
      <c r="C184" s="8"/>
      <c r="D184" s="8">
        <v>0</v>
      </c>
      <c r="E184" s="12">
        <v>29</v>
      </c>
      <c r="F184" s="14">
        <v>20</v>
      </c>
      <c r="G184" s="15" t="s">
        <v>137</v>
      </c>
      <c r="H184" s="9">
        <v>0</v>
      </c>
      <c r="I184" s="17" t="s">
        <v>142</v>
      </c>
      <c r="J184" s="22" t="s">
        <v>138</v>
      </c>
    </row>
    <row r="185" spans="1:10" ht="15">
      <c r="A185" s="40" t="s">
        <v>256</v>
      </c>
      <c r="B185" s="8">
        <v>1155407</v>
      </c>
      <c r="C185" s="8">
        <v>9610</v>
      </c>
      <c r="D185" s="8">
        <v>9.61</v>
      </c>
      <c r="E185" s="12">
        <v>15</v>
      </c>
      <c r="F185" s="14">
        <v>30</v>
      </c>
      <c r="G185" s="15">
        <v>41</v>
      </c>
      <c r="H185" s="9">
        <f>18450/1000000</f>
        <v>0.01845</v>
      </c>
      <c r="I185" s="17" t="s">
        <v>257</v>
      </c>
      <c r="J185" s="41"/>
    </row>
    <row r="186" spans="1:10" ht="15">
      <c r="A186" s="40" t="s">
        <v>258</v>
      </c>
      <c r="B186" s="8">
        <v>789844</v>
      </c>
      <c r="C186" s="8">
        <v>10880</v>
      </c>
      <c r="D186" s="8">
        <v>10.88</v>
      </c>
      <c r="E186" s="12">
        <v>15</v>
      </c>
      <c r="F186" s="14">
        <v>30</v>
      </c>
      <c r="G186" s="15">
        <v>41</v>
      </c>
      <c r="H186" s="9">
        <f>18450/1000000</f>
        <v>0.01845</v>
      </c>
      <c r="I186" s="17" t="s">
        <v>257</v>
      </c>
      <c r="J186" s="41"/>
    </row>
    <row r="187" spans="1:10" ht="15">
      <c r="A187" s="40" t="s">
        <v>259</v>
      </c>
      <c r="B187" s="8">
        <v>467812</v>
      </c>
      <c r="C187" s="8">
        <v>5410</v>
      </c>
      <c r="D187" s="8">
        <v>5.41</v>
      </c>
      <c r="E187" s="12">
        <v>15</v>
      </c>
      <c r="F187" s="14">
        <v>24</v>
      </c>
      <c r="G187" s="15">
        <v>26</v>
      </c>
      <c r="H187" s="9">
        <f>9360/1000000</f>
        <v>0.00936</v>
      </c>
      <c r="I187" s="17" t="s">
        <v>260</v>
      </c>
      <c r="J187" s="41"/>
    </row>
    <row r="188" spans="1:10" ht="15">
      <c r="A188" s="40" t="s">
        <v>261</v>
      </c>
      <c r="B188" s="8">
        <v>1349899</v>
      </c>
      <c r="C188" s="8">
        <v>7260</v>
      </c>
      <c r="D188" s="8">
        <v>7.26</v>
      </c>
      <c r="E188" s="12">
        <v>21</v>
      </c>
      <c r="F188" s="14">
        <v>13</v>
      </c>
      <c r="G188" s="15">
        <v>25</v>
      </c>
      <c r="H188" s="9">
        <f>6825/1000000</f>
        <v>0.006825</v>
      </c>
      <c r="I188" s="17" t="s">
        <v>262</v>
      </c>
      <c r="J188" s="41"/>
    </row>
    <row r="189" spans="1:10" ht="15">
      <c r="A189" s="40" t="s">
        <v>263</v>
      </c>
      <c r="B189" s="8">
        <v>974234</v>
      </c>
      <c r="C189" s="8">
        <v>10080</v>
      </c>
      <c r="D189" s="8">
        <v>10.08</v>
      </c>
      <c r="E189" s="12">
        <v>16</v>
      </c>
      <c r="F189" s="14">
        <v>31</v>
      </c>
      <c r="G189" s="15">
        <v>39</v>
      </c>
      <c r="H189" s="9">
        <f>19344/1000000</f>
        <v>0.019344</v>
      </c>
      <c r="I189" s="17" t="s">
        <v>264</v>
      </c>
      <c r="J189" s="41"/>
    </row>
    <row r="190" spans="1:10" ht="15">
      <c r="A190" s="40" t="s">
        <v>265</v>
      </c>
      <c r="B190" s="8">
        <v>1212656</v>
      </c>
      <c r="C190" s="8">
        <v>40</v>
      </c>
      <c r="D190" s="8">
        <v>0.04</v>
      </c>
      <c r="E190" s="12">
        <v>4.5</v>
      </c>
      <c r="F190" s="14">
        <v>16.5</v>
      </c>
      <c r="G190" s="15">
        <v>2</v>
      </c>
      <c r="H190" s="9">
        <f>148.5/1000000</f>
        <v>0.0001485</v>
      </c>
      <c r="I190" s="17" t="s">
        <v>253</v>
      </c>
      <c r="J190" s="41"/>
    </row>
    <row r="191" spans="1:10" ht="15">
      <c r="A191" s="40" t="s">
        <v>266</v>
      </c>
      <c r="B191" s="8">
        <v>1354132</v>
      </c>
      <c r="C191" s="8">
        <v>3650</v>
      </c>
      <c r="D191" s="8">
        <v>3.65</v>
      </c>
      <c r="E191" s="12">
        <v>30</v>
      </c>
      <c r="F191" s="14">
        <v>21</v>
      </c>
      <c r="G191" s="15">
        <v>8</v>
      </c>
      <c r="H191" s="9">
        <f>5040/1000000</f>
        <v>0.00504</v>
      </c>
      <c r="I191" s="17" t="s">
        <v>142</v>
      </c>
      <c r="J191" s="41"/>
    </row>
    <row r="192" spans="1:10" ht="15">
      <c r="A192" s="40" t="s">
        <v>267</v>
      </c>
      <c r="B192" s="8">
        <v>969486</v>
      </c>
      <c r="C192" s="8">
        <v>1880</v>
      </c>
      <c r="D192" s="8">
        <v>1.88</v>
      </c>
      <c r="E192" s="12">
        <v>86</v>
      </c>
      <c r="F192" s="14">
        <v>56</v>
      </c>
      <c r="G192" s="15">
        <v>1</v>
      </c>
      <c r="H192" s="9">
        <f>4816/1000000</f>
        <v>0.004816</v>
      </c>
      <c r="I192" s="17" t="s">
        <v>268</v>
      </c>
      <c r="J192" s="41"/>
    </row>
    <row r="193" spans="1:10" ht="60">
      <c r="A193" s="40" t="s">
        <v>269</v>
      </c>
      <c r="B193" s="8">
        <v>801828</v>
      </c>
      <c r="C193" s="8">
        <v>1080</v>
      </c>
      <c r="D193" s="8">
        <v>1.08</v>
      </c>
      <c r="E193" s="12">
        <v>37.4</v>
      </c>
      <c r="F193" s="14">
        <v>12.5</v>
      </c>
      <c r="G193" s="15" t="s">
        <v>137</v>
      </c>
      <c r="H193" s="9">
        <v>0</v>
      </c>
      <c r="I193" s="17" t="s">
        <v>270</v>
      </c>
      <c r="J193" s="41" t="s">
        <v>271</v>
      </c>
    </row>
    <row r="194" spans="1:10" ht="15">
      <c r="A194" s="40" t="s">
        <v>272</v>
      </c>
      <c r="B194" s="8">
        <v>189723</v>
      </c>
      <c r="C194" s="8">
        <v>600</v>
      </c>
      <c r="D194" s="8">
        <v>0.6</v>
      </c>
      <c r="E194" s="12">
        <v>28.3</v>
      </c>
      <c r="F194" s="14">
        <v>12</v>
      </c>
      <c r="G194" s="15">
        <v>12.5</v>
      </c>
      <c r="H194" s="9">
        <f>4245/1000000</f>
        <v>0.004245</v>
      </c>
      <c r="I194" s="17" t="s">
        <v>270</v>
      </c>
      <c r="J194" s="41"/>
    </row>
    <row r="195" spans="1:10" ht="15">
      <c r="A195" s="40" t="s">
        <v>273</v>
      </c>
      <c r="B195" s="8">
        <v>170704</v>
      </c>
      <c r="C195" s="8">
        <v>50</v>
      </c>
      <c r="D195" s="8">
        <v>0.05</v>
      </c>
      <c r="E195" s="12">
        <v>7.2</v>
      </c>
      <c r="F195" s="14">
        <v>8.6</v>
      </c>
      <c r="G195" s="15">
        <v>1.1</v>
      </c>
      <c r="H195" s="9">
        <f>68.112/1000000</f>
        <v>6.8112E-05</v>
      </c>
      <c r="I195" s="17" t="s">
        <v>274</v>
      </c>
      <c r="J195" s="41"/>
    </row>
    <row r="196" spans="1:10" ht="15">
      <c r="A196" s="40" t="s">
        <v>275</v>
      </c>
      <c r="B196" s="8">
        <v>983578</v>
      </c>
      <c r="C196" s="8">
        <v>360</v>
      </c>
      <c r="D196" s="8">
        <v>0.36</v>
      </c>
      <c r="E196" s="12">
        <v>6.5</v>
      </c>
      <c r="F196" s="14">
        <v>20</v>
      </c>
      <c r="G196" s="15">
        <v>3.6</v>
      </c>
      <c r="H196" s="9">
        <f>468/1000000</f>
        <v>0.000468</v>
      </c>
      <c r="I196" s="17" t="s">
        <v>276</v>
      </c>
      <c r="J196" s="41"/>
    </row>
    <row r="197" spans="1:10" ht="15">
      <c r="A197" s="40" t="s">
        <v>277</v>
      </c>
      <c r="B197" s="8">
        <v>1169840</v>
      </c>
      <c r="C197" s="8">
        <v>870</v>
      </c>
      <c r="D197" s="8">
        <v>0.87</v>
      </c>
      <c r="E197" s="12">
        <v>8</v>
      </c>
      <c r="F197" s="14">
        <v>29</v>
      </c>
      <c r="G197" s="15">
        <v>7</v>
      </c>
      <c r="H197" s="9">
        <f>1624/1000000</f>
        <v>0.001624</v>
      </c>
      <c r="I197" s="17" t="s">
        <v>276</v>
      </c>
      <c r="J197" s="41"/>
    </row>
    <row r="198" spans="1:10" ht="15">
      <c r="A198" s="40" t="s">
        <v>278</v>
      </c>
      <c r="B198" s="8">
        <v>56863</v>
      </c>
      <c r="C198" s="8">
        <v>150</v>
      </c>
      <c r="D198" s="8">
        <v>0.15</v>
      </c>
      <c r="E198" s="12">
        <v>4.1</v>
      </c>
      <c r="F198" s="14">
        <v>10.8</v>
      </c>
      <c r="G198" s="15">
        <v>2.7</v>
      </c>
      <c r="H198" s="9">
        <f>119.56/1000000</f>
        <v>0.00011956</v>
      </c>
      <c r="I198" s="17" t="s">
        <v>279</v>
      </c>
      <c r="J198" s="41"/>
    </row>
    <row r="199" spans="1:10" ht="15">
      <c r="A199" s="40" t="s">
        <v>280</v>
      </c>
      <c r="B199" s="8">
        <v>199427</v>
      </c>
      <c r="C199" s="8">
        <v>200</v>
      </c>
      <c r="D199" s="8">
        <v>0.2</v>
      </c>
      <c r="E199" s="12">
        <v>4.2</v>
      </c>
      <c r="F199" s="14">
        <v>11</v>
      </c>
      <c r="G199" s="15">
        <v>3.5</v>
      </c>
      <c r="H199" s="9">
        <f>161.7/1000000</f>
        <v>0.0001617</v>
      </c>
      <c r="I199" s="18" t="s">
        <v>281</v>
      </c>
      <c r="J199" s="42"/>
    </row>
    <row r="200" spans="1:10" ht="15">
      <c r="A200" s="40" t="s">
        <v>282</v>
      </c>
      <c r="B200" s="8">
        <v>59536</v>
      </c>
      <c r="C200" s="8">
        <v>90</v>
      </c>
      <c r="D200" s="8">
        <v>0.09</v>
      </c>
      <c r="E200" s="12">
        <v>7</v>
      </c>
      <c r="F200" s="14">
        <v>8.3</v>
      </c>
      <c r="G200" s="15">
        <v>1.1</v>
      </c>
      <c r="H200" s="9">
        <f>63.91/1000000</f>
        <v>6.391E-05</v>
      </c>
      <c r="I200" s="17" t="s">
        <v>283</v>
      </c>
      <c r="J200" s="41"/>
    </row>
    <row r="201" spans="1:10" ht="15">
      <c r="A201" s="40" t="s">
        <v>284</v>
      </c>
      <c r="B201" s="8">
        <v>221414</v>
      </c>
      <c r="C201" s="8">
        <v>120</v>
      </c>
      <c r="D201" s="8">
        <v>0.12</v>
      </c>
      <c r="E201" s="12">
        <v>7</v>
      </c>
      <c r="F201" s="14">
        <v>8.3</v>
      </c>
      <c r="G201" s="15">
        <v>1.6</v>
      </c>
      <c r="H201" s="9">
        <f>92.96/1000000</f>
        <v>9.295999999999999E-05</v>
      </c>
      <c r="I201" s="17" t="s">
        <v>123</v>
      </c>
      <c r="J201" s="41"/>
    </row>
    <row r="202" spans="1:10" ht="15">
      <c r="A202" s="40" t="s">
        <v>285</v>
      </c>
      <c r="B202" s="8">
        <v>1349902</v>
      </c>
      <c r="C202" s="8">
        <v>240</v>
      </c>
      <c r="D202" s="8">
        <v>0.24</v>
      </c>
      <c r="E202" s="12">
        <v>22</v>
      </c>
      <c r="F202" s="14">
        <v>14.6</v>
      </c>
      <c r="G202" s="15">
        <v>7.5</v>
      </c>
      <c r="H202" s="9">
        <f>2409/1000000</f>
        <v>0.002409</v>
      </c>
      <c r="I202" s="19" t="s">
        <v>286</v>
      </c>
      <c r="J202" s="43"/>
    </row>
    <row r="203" spans="1:10" ht="15">
      <c r="A203" s="40" t="s">
        <v>287</v>
      </c>
      <c r="B203" s="8">
        <v>75957</v>
      </c>
      <c r="C203" s="8">
        <v>50</v>
      </c>
      <c r="D203" s="8">
        <v>0.05</v>
      </c>
      <c r="E203" s="12">
        <v>12</v>
      </c>
      <c r="F203" s="14">
        <v>12</v>
      </c>
      <c r="G203" s="15">
        <v>6</v>
      </c>
      <c r="H203" s="9">
        <f>864/1000000</f>
        <v>0.000864</v>
      </c>
      <c r="I203" s="17" t="s">
        <v>288</v>
      </c>
      <c r="J203" s="41"/>
    </row>
    <row r="204" spans="1:10" ht="15">
      <c r="A204" s="40" t="s">
        <v>289</v>
      </c>
      <c r="B204" s="8">
        <v>179604</v>
      </c>
      <c r="C204" s="8">
        <v>610</v>
      </c>
      <c r="D204" s="8">
        <v>0.61</v>
      </c>
      <c r="E204" s="12">
        <v>21</v>
      </c>
      <c r="F204" s="14">
        <v>15.2</v>
      </c>
      <c r="G204" s="15">
        <v>13.5</v>
      </c>
      <c r="H204" s="9">
        <f>4309.2/1000000</f>
        <v>0.0043092</v>
      </c>
      <c r="I204" s="17" t="s">
        <v>144</v>
      </c>
      <c r="J204" s="41"/>
    </row>
    <row r="205" spans="1:10" ht="15">
      <c r="A205" s="40" t="s">
        <v>290</v>
      </c>
      <c r="B205" s="8">
        <v>111295</v>
      </c>
      <c r="C205" s="8">
        <v>80</v>
      </c>
      <c r="D205" s="8">
        <v>0.08</v>
      </c>
      <c r="E205" s="12">
        <v>18.2</v>
      </c>
      <c r="F205" s="14">
        <v>4.7</v>
      </c>
      <c r="G205" s="15">
        <v>1.7</v>
      </c>
      <c r="H205" s="9">
        <f>145.42/1000000</f>
        <v>0.00014542</v>
      </c>
      <c r="I205" s="17" t="s">
        <v>174</v>
      </c>
      <c r="J205" s="41"/>
    </row>
    <row r="206" spans="1:10" ht="15">
      <c r="A206" s="40" t="s">
        <v>291</v>
      </c>
      <c r="B206" s="8">
        <v>975796</v>
      </c>
      <c r="C206" s="8">
        <v>99</v>
      </c>
      <c r="D206" s="8">
        <v>0.099</v>
      </c>
      <c r="E206" s="12">
        <v>18</v>
      </c>
      <c r="F206" s="14">
        <v>8.8</v>
      </c>
      <c r="G206" s="15">
        <v>8.5</v>
      </c>
      <c r="H206" s="9">
        <f>13466.4/1000000</f>
        <v>0.0134664</v>
      </c>
      <c r="I206" s="17" t="s">
        <v>174</v>
      </c>
      <c r="J206" s="41"/>
    </row>
    <row r="207" spans="1:10" ht="15">
      <c r="A207" s="40" t="s">
        <v>292</v>
      </c>
      <c r="B207" s="8">
        <v>975885</v>
      </c>
      <c r="C207" s="8">
        <v>130</v>
      </c>
      <c r="D207" s="8">
        <v>0.13</v>
      </c>
      <c r="E207" s="12">
        <v>14.5</v>
      </c>
      <c r="F207" s="14">
        <v>6.3</v>
      </c>
      <c r="G207" s="15">
        <v>2</v>
      </c>
      <c r="H207" s="9">
        <f>182.7/1000000</f>
        <v>0.0001827</v>
      </c>
      <c r="I207" s="17" t="s">
        <v>174</v>
      </c>
      <c r="J207" s="41"/>
    </row>
    <row r="208" spans="1:10" ht="15">
      <c r="A208" s="40" t="s">
        <v>293</v>
      </c>
      <c r="B208" s="8">
        <v>1354396</v>
      </c>
      <c r="C208" s="8">
        <v>2510</v>
      </c>
      <c r="D208" s="8">
        <v>2.51</v>
      </c>
      <c r="E208" s="12">
        <v>31.9</v>
      </c>
      <c r="F208" s="14">
        <v>21.7</v>
      </c>
      <c r="G208" s="15">
        <v>5.9</v>
      </c>
      <c r="H208" s="9">
        <f>4084.2/1000000</f>
        <v>0.0040842</v>
      </c>
      <c r="I208" s="17" t="s">
        <v>294</v>
      </c>
      <c r="J208" s="41"/>
    </row>
    <row r="209" spans="1:10" ht="15">
      <c r="A209" s="40" t="s">
        <v>295</v>
      </c>
      <c r="B209" s="8">
        <v>1354345</v>
      </c>
      <c r="C209" s="8">
        <v>2030</v>
      </c>
      <c r="D209" s="8">
        <v>2.03</v>
      </c>
      <c r="E209" s="12">
        <v>21.5</v>
      </c>
      <c r="F209" s="14">
        <v>30</v>
      </c>
      <c r="G209" s="15">
        <v>5</v>
      </c>
      <c r="H209" s="9">
        <f>3225/1000000</f>
        <v>0.003225</v>
      </c>
      <c r="I209" s="17" t="s">
        <v>296</v>
      </c>
      <c r="J209" s="41"/>
    </row>
    <row r="210" spans="1:10" ht="15">
      <c r="A210" s="40" t="s">
        <v>297</v>
      </c>
      <c r="B210" s="8">
        <v>1157256</v>
      </c>
      <c r="C210" s="8">
        <v>460</v>
      </c>
      <c r="D210" s="8">
        <v>0.46</v>
      </c>
      <c r="E210" s="12">
        <v>29.5</v>
      </c>
      <c r="F210" s="14">
        <v>22.8</v>
      </c>
      <c r="G210" s="15">
        <v>20</v>
      </c>
      <c r="H210" s="9">
        <f>13452/1000000</f>
        <v>0.013452</v>
      </c>
      <c r="I210" s="17" t="s">
        <v>144</v>
      </c>
      <c r="J210" s="41"/>
    </row>
    <row r="211" spans="1:10" ht="15">
      <c r="A211" s="40" t="s">
        <v>298</v>
      </c>
      <c r="B211" s="8">
        <v>1313169</v>
      </c>
      <c r="C211" s="8">
        <v>880</v>
      </c>
      <c r="D211" s="8">
        <v>0.88</v>
      </c>
      <c r="E211" s="12">
        <v>39</v>
      </c>
      <c r="F211" s="14">
        <v>23.2</v>
      </c>
      <c r="G211" s="15">
        <v>25</v>
      </c>
      <c r="H211" s="9">
        <f>22620/1000000</f>
        <v>0.02262</v>
      </c>
      <c r="I211" s="17" t="s">
        <v>144</v>
      </c>
      <c r="J211" s="41"/>
    </row>
    <row r="212" spans="1:10" ht="15">
      <c r="A212" s="40" t="s">
        <v>299</v>
      </c>
      <c r="B212" s="8">
        <v>1350951</v>
      </c>
      <c r="C212" s="8">
        <v>1900</v>
      </c>
      <c r="D212" s="8">
        <v>1.9</v>
      </c>
      <c r="E212" s="12">
        <v>14</v>
      </c>
      <c r="F212" s="14">
        <v>70</v>
      </c>
      <c r="G212" s="15">
        <v>89</v>
      </c>
      <c r="H212" s="9">
        <f>87220/1000000</f>
        <v>0.08722</v>
      </c>
      <c r="I212" s="17" t="s">
        <v>300</v>
      </c>
      <c r="J212" s="41"/>
    </row>
    <row r="213" spans="1:10" ht="15">
      <c r="A213" s="40" t="s">
        <v>301</v>
      </c>
      <c r="B213" s="8">
        <v>269344</v>
      </c>
      <c r="C213" s="8">
        <v>550</v>
      </c>
      <c r="D213" s="8">
        <v>0.55</v>
      </c>
      <c r="E213" s="12">
        <v>21</v>
      </c>
      <c r="F213" s="14">
        <v>23.3</v>
      </c>
      <c r="G213" s="15">
        <v>23.3</v>
      </c>
      <c r="H213" s="9">
        <f>11400/1000000</f>
        <v>0.0114</v>
      </c>
      <c r="I213" s="17" t="s">
        <v>302</v>
      </c>
      <c r="J213" s="41"/>
    </row>
    <row r="214" spans="1:10" ht="15">
      <c r="A214" s="40" t="s">
        <v>303</v>
      </c>
      <c r="B214" s="8">
        <v>114464</v>
      </c>
      <c r="C214" s="8">
        <v>760</v>
      </c>
      <c r="D214" s="8">
        <v>0.76</v>
      </c>
      <c r="E214" s="12">
        <v>30</v>
      </c>
      <c r="F214" s="14">
        <v>42.3</v>
      </c>
      <c r="G214" s="15">
        <v>5.1</v>
      </c>
      <c r="H214" s="9">
        <f>6471.9/1000000</f>
        <v>0.0064719</v>
      </c>
      <c r="I214" s="17" t="s">
        <v>304</v>
      </c>
      <c r="J214" s="41"/>
    </row>
    <row r="215" spans="1:10" ht="45">
      <c r="A215" s="40" t="s">
        <v>305</v>
      </c>
      <c r="B215" s="8">
        <v>1354876</v>
      </c>
      <c r="C215" s="8">
        <v>3840</v>
      </c>
      <c r="D215" s="8">
        <v>3.84</v>
      </c>
      <c r="E215" s="12">
        <v>29.7</v>
      </c>
      <c r="F215" s="14">
        <v>21</v>
      </c>
      <c r="G215" s="15" t="s">
        <v>137</v>
      </c>
      <c r="H215" s="9">
        <v>0</v>
      </c>
      <c r="I215" s="17" t="s">
        <v>306</v>
      </c>
      <c r="J215" s="41" t="s">
        <v>307</v>
      </c>
    </row>
    <row r="216" spans="1:10" ht="15">
      <c r="A216" s="40" t="s">
        <v>308</v>
      </c>
      <c r="B216" s="8">
        <v>1153943</v>
      </c>
      <c r="C216" s="8">
        <v>60</v>
      </c>
      <c r="D216" s="8">
        <v>0.06</v>
      </c>
      <c r="E216" s="12">
        <v>7.5</v>
      </c>
      <c r="F216" s="14">
        <v>10</v>
      </c>
      <c r="G216" s="15">
        <v>1</v>
      </c>
      <c r="H216" s="9">
        <f>75/1000000</f>
        <v>7.5E-05</v>
      </c>
      <c r="I216" s="17" t="s">
        <v>309</v>
      </c>
      <c r="J216" s="41"/>
    </row>
    <row r="217" spans="1:10" ht="15">
      <c r="A217" s="40" t="s">
        <v>310</v>
      </c>
      <c r="B217" s="8">
        <v>1153900</v>
      </c>
      <c r="C217" s="8">
        <v>50</v>
      </c>
      <c r="D217" s="8">
        <v>0.05</v>
      </c>
      <c r="E217" s="12">
        <v>7.6</v>
      </c>
      <c r="F217" s="14">
        <v>7.6</v>
      </c>
      <c r="G217" s="15">
        <v>1</v>
      </c>
      <c r="H217" s="9">
        <v>5.776E-05</v>
      </c>
      <c r="I217" s="17" t="s">
        <v>174</v>
      </c>
      <c r="J217" s="41"/>
    </row>
    <row r="218" spans="1:10" ht="15">
      <c r="A218" s="40" t="s">
        <v>311</v>
      </c>
      <c r="B218" s="8">
        <v>969524</v>
      </c>
      <c r="C218" s="8">
        <v>5450</v>
      </c>
      <c r="D218" s="8">
        <v>5.45</v>
      </c>
      <c r="E218" s="12">
        <v>24.2</v>
      </c>
      <c r="F218" s="14">
        <v>48</v>
      </c>
      <c r="G218" s="15">
        <v>39</v>
      </c>
      <c r="H218" s="9">
        <f>45302/1000000</f>
        <v>0.045302</v>
      </c>
      <c r="I218" s="17" t="s">
        <v>312</v>
      </c>
      <c r="J218" s="41"/>
    </row>
    <row r="219" spans="1:10" ht="15">
      <c r="A219" s="40" t="s">
        <v>313</v>
      </c>
      <c r="B219" s="8">
        <v>974960</v>
      </c>
      <c r="C219" s="8">
        <v>2530</v>
      </c>
      <c r="D219" s="8">
        <v>2.53</v>
      </c>
      <c r="E219" s="12">
        <v>30</v>
      </c>
      <c r="F219" s="14">
        <v>21.3</v>
      </c>
      <c r="G219" s="15">
        <v>5</v>
      </c>
      <c r="H219" s="9">
        <f>3195/1000000</f>
        <v>0.003195</v>
      </c>
      <c r="I219" s="17" t="s">
        <v>314</v>
      </c>
      <c r="J219" s="41"/>
    </row>
    <row r="220" spans="1:10" ht="15">
      <c r="A220" s="40" t="s">
        <v>315</v>
      </c>
      <c r="B220" s="8">
        <v>80306</v>
      </c>
      <c r="C220" s="8">
        <v>2300</v>
      </c>
      <c r="D220" s="8">
        <v>2.3</v>
      </c>
      <c r="E220" s="12">
        <v>29.8</v>
      </c>
      <c r="F220" s="14">
        <v>21.1</v>
      </c>
      <c r="G220" s="15">
        <v>4.8</v>
      </c>
      <c r="H220" s="9">
        <f>3018.1/1000000</f>
        <v>0.0030181</v>
      </c>
      <c r="I220" s="17" t="s">
        <v>316</v>
      </c>
      <c r="J220" s="41"/>
    </row>
    <row r="221" spans="1:10" ht="15">
      <c r="A221" s="40" t="s">
        <v>317</v>
      </c>
      <c r="B221" s="8">
        <v>113654</v>
      </c>
      <c r="C221" s="8">
        <v>310</v>
      </c>
      <c r="D221" s="8">
        <v>0.31</v>
      </c>
      <c r="E221" s="12">
        <v>34.3</v>
      </c>
      <c r="F221" s="14">
        <v>27.6</v>
      </c>
      <c r="G221" s="15">
        <v>8.5</v>
      </c>
      <c r="H221" s="9">
        <f>8046.8/1000000</f>
        <v>0.0080468</v>
      </c>
      <c r="I221" s="17" t="s">
        <v>318</v>
      </c>
      <c r="J221" s="41"/>
    </row>
    <row r="222" spans="1:10" ht="15">
      <c r="A222" s="40" t="s">
        <v>319</v>
      </c>
      <c r="B222" s="8">
        <v>1156918</v>
      </c>
      <c r="C222" s="8">
        <v>2020</v>
      </c>
      <c r="D222" s="8">
        <v>2.02</v>
      </c>
      <c r="E222" s="12">
        <v>33.5</v>
      </c>
      <c r="F222" s="14">
        <v>25</v>
      </c>
      <c r="G222" s="15">
        <v>3.5</v>
      </c>
      <c r="H222" s="9">
        <f>2931.3/1000000</f>
        <v>0.0029313000000000004</v>
      </c>
      <c r="I222" s="17" t="s">
        <v>294</v>
      </c>
      <c r="J222" s="41"/>
    </row>
    <row r="223" spans="1:10" ht="15">
      <c r="A223" s="40" t="s">
        <v>320</v>
      </c>
      <c r="B223" s="8">
        <v>1354361</v>
      </c>
      <c r="C223" s="8">
        <v>30</v>
      </c>
      <c r="D223" s="8">
        <v>0.03</v>
      </c>
      <c r="E223" s="12">
        <v>32.5</v>
      </c>
      <c r="F223" s="14">
        <v>23.1</v>
      </c>
      <c r="G223" s="15">
        <v>3.6</v>
      </c>
      <c r="H223" s="9">
        <f>2702.7/1000000</f>
        <v>0.0027026999999999997</v>
      </c>
      <c r="I223" s="17" t="s">
        <v>321</v>
      </c>
      <c r="J223" s="41"/>
    </row>
    <row r="224" spans="1:10" ht="15">
      <c r="A224" s="40" t="s">
        <v>322</v>
      </c>
      <c r="B224" s="8">
        <v>1008900</v>
      </c>
      <c r="C224" s="8">
        <v>4330</v>
      </c>
      <c r="D224" s="8">
        <v>4.33</v>
      </c>
      <c r="E224" s="12">
        <v>24.2</v>
      </c>
      <c r="F224" s="14">
        <v>48</v>
      </c>
      <c r="G224" s="15">
        <v>39</v>
      </c>
      <c r="H224" s="9">
        <f>45302/1000000</f>
        <v>0.045302</v>
      </c>
      <c r="I224" s="17" t="s">
        <v>323</v>
      </c>
      <c r="J224" s="41"/>
    </row>
    <row r="225" spans="1:10" ht="15">
      <c r="A225" s="40" t="s">
        <v>324</v>
      </c>
      <c r="B225" s="8">
        <v>1350510</v>
      </c>
      <c r="C225" s="8">
        <v>520</v>
      </c>
      <c r="D225" s="8">
        <v>0.52</v>
      </c>
      <c r="E225" s="12">
        <v>34.9</v>
      </c>
      <c r="F225" s="14">
        <v>29</v>
      </c>
      <c r="G225" s="15">
        <v>3.7</v>
      </c>
      <c r="H225" s="9">
        <f>3744.8/1000000</f>
        <v>0.0037448000000000004</v>
      </c>
      <c r="I225" s="17" t="s">
        <v>325</v>
      </c>
      <c r="J225" s="41"/>
    </row>
    <row r="226" spans="1:10" ht="15">
      <c r="A226" s="40" t="s">
        <v>326</v>
      </c>
      <c r="B226" s="8">
        <v>90433</v>
      </c>
      <c r="C226" s="8">
        <v>4730</v>
      </c>
      <c r="D226" s="8">
        <v>4.73</v>
      </c>
      <c r="E226" s="12">
        <v>25</v>
      </c>
      <c r="F226" s="14">
        <v>58.9</v>
      </c>
      <c r="G226" s="15">
        <v>18.6</v>
      </c>
      <c r="H226" s="9">
        <f>27389/1000000</f>
        <v>0.027389</v>
      </c>
      <c r="I226" s="17" t="s">
        <v>325</v>
      </c>
      <c r="J226" s="41"/>
    </row>
    <row r="227" spans="1:10" ht="15">
      <c r="A227" s="40" t="s">
        <v>327</v>
      </c>
      <c r="B227" s="8">
        <v>1302671</v>
      </c>
      <c r="C227" s="8">
        <v>40</v>
      </c>
      <c r="D227" s="8">
        <v>0.04</v>
      </c>
      <c r="E227" s="12">
        <v>5.5</v>
      </c>
      <c r="F227" s="14">
        <v>1.9</v>
      </c>
      <c r="G227" s="15">
        <v>1</v>
      </c>
      <c r="H227" s="9">
        <f>10.45/1000000</f>
        <v>1.045E-05</v>
      </c>
      <c r="I227" s="17" t="s">
        <v>328</v>
      </c>
      <c r="J227" s="41"/>
    </row>
    <row r="228" spans="1:10" ht="15">
      <c r="A228" s="40" t="s">
        <v>329</v>
      </c>
      <c r="B228" s="8">
        <v>994243</v>
      </c>
      <c r="C228" s="8">
        <v>1580</v>
      </c>
      <c r="D228" s="8">
        <v>1.58</v>
      </c>
      <c r="E228" s="12">
        <v>12</v>
      </c>
      <c r="F228" s="14">
        <v>23</v>
      </c>
      <c r="G228" s="15">
        <v>9.5</v>
      </c>
      <c r="H228" s="9">
        <f>2622/1000000</f>
        <v>0.002622</v>
      </c>
      <c r="I228" s="17" t="s">
        <v>328</v>
      </c>
      <c r="J228" s="41"/>
    </row>
    <row r="229" spans="1:10" ht="15">
      <c r="A229" s="40" t="s">
        <v>330</v>
      </c>
      <c r="B229" s="8">
        <v>1351702</v>
      </c>
      <c r="C229" s="8">
        <v>130</v>
      </c>
      <c r="D229" s="8">
        <v>0.13</v>
      </c>
      <c r="E229" s="12">
        <v>9.3</v>
      </c>
      <c r="F229" s="14">
        <v>17</v>
      </c>
      <c r="G229" s="15">
        <v>19</v>
      </c>
      <c r="H229" s="9">
        <f>3003.9/1000000</f>
        <v>0.0030039</v>
      </c>
      <c r="I229" s="17" t="s">
        <v>331</v>
      </c>
      <c r="J229" s="41"/>
    </row>
    <row r="230" spans="1:10" ht="15">
      <c r="A230" s="40" t="s">
        <v>332</v>
      </c>
      <c r="B230" s="8">
        <v>1253883</v>
      </c>
      <c r="C230" s="8">
        <v>1000</v>
      </c>
      <c r="D230" s="8">
        <v>1</v>
      </c>
      <c r="E230" s="12">
        <v>8.1</v>
      </c>
      <c r="F230" s="14">
        <v>14</v>
      </c>
      <c r="G230" s="15">
        <v>9</v>
      </c>
      <c r="H230" s="9">
        <f>1020.6/1000000</f>
        <v>0.0010206</v>
      </c>
      <c r="I230" s="17" t="s">
        <v>333</v>
      </c>
      <c r="J230" s="41"/>
    </row>
    <row r="231" spans="1:10" ht="15">
      <c r="A231" s="40" t="s">
        <v>334</v>
      </c>
      <c r="B231" s="8">
        <v>1252097</v>
      </c>
      <c r="C231" s="8">
        <v>550</v>
      </c>
      <c r="D231" s="8">
        <v>0.55</v>
      </c>
      <c r="E231" s="12">
        <v>9.3</v>
      </c>
      <c r="F231" s="14">
        <v>17</v>
      </c>
      <c r="G231" s="15">
        <v>19</v>
      </c>
      <c r="H231" s="9">
        <f>3003.9/1000000</f>
        <v>0.0030039</v>
      </c>
      <c r="I231" s="17" t="s">
        <v>333</v>
      </c>
      <c r="J231" s="41"/>
    </row>
    <row r="232" spans="1:10" ht="15">
      <c r="A232" s="40" t="s">
        <v>335</v>
      </c>
      <c r="B232" s="8">
        <v>1372548</v>
      </c>
      <c r="C232" s="8">
        <v>110</v>
      </c>
      <c r="D232" s="8">
        <v>0.11</v>
      </c>
      <c r="E232" s="12">
        <v>13.5</v>
      </c>
      <c r="F232" s="14">
        <v>6.5</v>
      </c>
      <c r="G232" s="15">
        <v>2.5</v>
      </c>
      <c r="H232" s="9">
        <f>219.38/1000000</f>
        <v>0.00021938</v>
      </c>
      <c r="I232" s="17" t="s">
        <v>174</v>
      </c>
      <c r="J232" s="41"/>
    </row>
    <row r="233" spans="1:10" ht="15">
      <c r="A233" s="40" t="s">
        <v>336</v>
      </c>
      <c r="B233" s="8">
        <v>1079670</v>
      </c>
      <c r="C233" s="8">
        <v>100</v>
      </c>
      <c r="D233" s="8">
        <v>0.1</v>
      </c>
      <c r="E233" s="12">
        <v>13.2</v>
      </c>
      <c r="F233" s="14">
        <v>8.5</v>
      </c>
      <c r="G233" s="15">
        <v>2.7</v>
      </c>
      <c r="H233" s="9">
        <f>302.94/1000000</f>
        <v>0.00030294</v>
      </c>
      <c r="I233" s="17" t="s">
        <v>174</v>
      </c>
      <c r="J233" s="41"/>
    </row>
    <row r="234" spans="1:10" ht="15">
      <c r="A234" s="40" t="s">
        <v>337</v>
      </c>
      <c r="B234" s="8">
        <v>1024701</v>
      </c>
      <c r="C234" s="8">
        <v>110</v>
      </c>
      <c r="D234" s="8">
        <v>0.11</v>
      </c>
      <c r="E234" s="12">
        <v>13.8</v>
      </c>
      <c r="F234" s="14">
        <v>6.8</v>
      </c>
      <c r="G234" s="15">
        <v>3.3</v>
      </c>
      <c r="H234" s="9">
        <f>309.67/1000000</f>
        <v>0.00030967</v>
      </c>
      <c r="I234" s="17" t="s">
        <v>338</v>
      </c>
      <c r="J234" s="41"/>
    </row>
    <row r="235" spans="1:10" ht="15">
      <c r="A235" s="40" t="s">
        <v>339</v>
      </c>
      <c r="B235" s="8">
        <v>1079689</v>
      </c>
      <c r="C235" s="8">
        <v>100</v>
      </c>
      <c r="D235" s="8">
        <v>0.1</v>
      </c>
      <c r="E235" s="12">
        <v>13</v>
      </c>
      <c r="F235" s="14">
        <v>8.5</v>
      </c>
      <c r="G235" s="15">
        <v>2.5</v>
      </c>
      <c r="H235" s="9">
        <f>276.25/1000000</f>
        <v>0.00027625</v>
      </c>
      <c r="I235" s="17" t="s">
        <v>174</v>
      </c>
      <c r="J235" s="41"/>
    </row>
    <row r="236" spans="1:10" ht="15">
      <c r="A236" s="40" t="s">
        <v>340</v>
      </c>
      <c r="B236" s="8">
        <v>144517</v>
      </c>
      <c r="C236" s="8">
        <v>120</v>
      </c>
      <c r="D236" s="8">
        <v>0.12</v>
      </c>
      <c r="E236" s="12">
        <v>14</v>
      </c>
      <c r="F236" s="14">
        <v>5.6</v>
      </c>
      <c r="G236" s="15">
        <v>4.5</v>
      </c>
      <c r="H236" s="9">
        <f>352.8/1000000</f>
        <v>0.0003528</v>
      </c>
      <c r="I236" s="17" t="s">
        <v>174</v>
      </c>
      <c r="J236" s="41"/>
    </row>
    <row r="237" spans="1:10" ht="15">
      <c r="A237" s="40" t="s">
        <v>341</v>
      </c>
      <c r="B237" s="8">
        <v>209040</v>
      </c>
      <c r="C237" s="8">
        <v>180</v>
      </c>
      <c r="D237" s="8">
        <v>0.18</v>
      </c>
      <c r="E237" s="12">
        <v>8.5</v>
      </c>
      <c r="F237" s="14">
        <v>13.5</v>
      </c>
      <c r="G237" s="15">
        <v>4.5</v>
      </c>
      <c r="H237" s="9">
        <f>516.38/1000000</f>
        <v>0.00051638</v>
      </c>
      <c r="I237" s="17" t="s">
        <v>199</v>
      </c>
      <c r="J237" s="41"/>
    </row>
    <row r="238" spans="1:10" ht="15">
      <c r="A238" s="40" t="s">
        <v>342</v>
      </c>
      <c r="B238" s="8">
        <v>213225</v>
      </c>
      <c r="C238" s="8">
        <v>180</v>
      </c>
      <c r="D238" s="8">
        <v>0.18</v>
      </c>
      <c r="E238" s="12">
        <v>8.5</v>
      </c>
      <c r="F238" s="14">
        <v>13.5</v>
      </c>
      <c r="G238" s="15">
        <v>4.5</v>
      </c>
      <c r="H238" s="9">
        <f>516.38/1000000</f>
        <v>0.00051638</v>
      </c>
      <c r="I238" s="17" t="s">
        <v>174</v>
      </c>
      <c r="J238" s="41"/>
    </row>
    <row r="239" spans="1:10" ht="15">
      <c r="A239" s="40" t="s">
        <v>343</v>
      </c>
      <c r="B239" s="8">
        <v>205770</v>
      </c>
      <c r="C239" s="8">
        <v>180</v>
      </c>
      <c r="D239" s="8">
        <v>0.18</v>
      </c>
      <c r="E239" s="12">
        <v>8.5</v>
      </c>
      <c r="F239" s="14">
        <v>13.5</v>
      </c>
      <c r="G239" s="15">
        <v>4.5</v>
      </c>
      <c r="H239" s="9">
        <f>516.38/1000000</f>
        <v>0.00051638</v>
      </c>
      <c r="I239" s="17" t="s">
        <v>174</v>
      </c>
      <c r="J239" s="41"/>
    </row>
    <row r="240" spans="1:10" ht="60">
      <c r="A240" s="40" t="s">
        <v>344</v>
      </c>
      <c r="B240" s="8">
        <v>75132</v>
      </c>
      <c r="C240" s="8">
        <v>10</v>
      </c>
      <c r="D240" s="8">
        <v>0.01</v>
      </c>
      <c r="E240" s="12">
        <v>32.8</v>
      </c>
      <c r="F240" s="14">
        <v>23.9</v>
      </c>
      <c r="G240" s="15" t="s">
        <v>137</v>
      </c>
      <c r="H240" s="9">
        <v>0</v>
      </c>
      <c r="I240" s="17" t="s">
        <v>345</v>
      </c>
      <c r="J240" s="41" t="s">
        <v>271</v>
      </c>
    </row>
    <row r="241" spans="1:10" ht="15">
      <c r="A241" s="40" t="s">
        <v>346</v>
      </c>
      <c r="B241" s="8">
        <v>1042742</v>
      </c>
      <c r="C241" s="8">
        <v>1930</v>
      </c>
      <c r="D241" s="8">
        <v>1.93</v>
      </c>
      <c r="E241" s="12">
        <v>14</v>
      </c>
      <c r="F241" s="14">
        <v>16</v>
      </c>
      <c r="G241" s="15">
        <v>27</v>
      </c>
      <c r="H241" s="9">
        <f>6048/1000000</f>
        <v>0.006048</v>
      </c>
      <c r="I241" s="17" t="s">
        <v>347</v>
      </c>
      <c r="J241" s="41"/>
    </row>
    <row r="242" spans="1:10" ht="15">
      <c r="A242" s="40" t="s">
        <v>348</v>
      </c>
      <c r="B242" s="8">
        <v>971839</v>
      </c>
      <c r="C242" s="8">
        <v>1200</v>
      </c>
      <c r="D242" s="8">
        <v>1.2</v>
      </c>
      <c r="E242" s="12">
        <v>15</v>
      </c>
      <c r="F242" s="14">
        <v>33</v>
      </c>
      <c r="G242" s="15">
        <v>2.3</v>
      </c>
      <c r="H242" s="9">
        <f>1138.5/1000000</f>
        <v>0.0011385</v>
      </c>
      <c r="I242" s="17" t="s">
        <v>349</v>
      </c>
      <c r="J242" s="41"/>
    </row>
    <row r="243" spans="1:10" ht="15">
      <c r="A243" s="40" t="s">
        <v>350</v>
      </c>
      <c r="B243" s="8">
        <v>995894</v>
      </c>
      <c r="C243" s="8">
        <v>2580</v>
      </c>
      <c r="D243" s="8">
        <v>2.58</v>
      </c>
      <c r="E243" s="12">
        <v>8</v>
      </c>
      <c r="F243" s="14">
        <v>26</v>
      </c>
      <c r="G243" s="15">
        <v>65</v>
      </c>
      <c r="H243" s="9">
        <f>13520/1000000</f>
        <v>0.01352</v>
      </c>
      <c r="I243" s="17" t="s">
        <v>351</v>
      </c>
      <c r="J243" s="41"/>
    </row>
    <row r="244" spans="1:10" ht="15">
      <c r="A244" s="40" t="s">
        <v>352</v>
      </c>
      <c r="B244" s="8">
        <v>82716</v>
      </c>
      <c r="C244" s="8">
        <v>940</v>
      </c>
      <c r="D244" s="8">
        <v>0.94</v>
      </c>
      <c r="E244" s="12">
        <v>14</v>
      </c>
      <c r="F244" s="14">
        <v>26.9</v>
      </c>
      <c r="G244" s="15">
        <v>14</v>
      </c>
      <c r="H244" s="9">
        <f>5272.4/1000000</f>
        <v>0.0052724</v>
      </c>
      <c r="I244" s="17" t="s">
        <v>174</v>
      </c>
      <c r="J244" s="41"/>
    </row>
    <row r="245" spans="1:10" ht="15">
      <c r="A245" s="40" t="s">
        <v>353</v>
      </c>
      <c r="B245" s="8">
        <v>253928</v>
      </c>
      <c r="C245" s="8">
        <v>660</v>
      </c>
      <c r="D245" s="8">
        <v>0.66</v>
      </c>
      <c r="E245" s="12">
        <v>10.5</v>
      </c>
      <c r="F245" s="14">
        <v>14.5</v>
      </c>
      <c r="G245" s="15">
        <v>8</v>
      </c>
      <c r="H245" s="9">
        <f>1218/1000000</f>
        <v>0.001218</v>
      </c>
      <c r="I245" s="17" t="s">
        <v>354</v>
      </c>
      <c r="J245" s="41"/>
    </row>
    <row r="246" spans="1:10" ht="15">
      <c r="A246" s="40" t="s">
        <v>355</v>
      </c>
      <c r="B246" s="8">
        <v>522147</v>
      </c>
      <c r="C246" s="8">
        <v>670</v>
      </c>
      <c r="D246" s="8">
        <v>0.67</v>
      </c>
      <c r="E246" s="12">
        <v>11</v>
      </c>
      <c r="F246" s="14">
        <v>14.7</v>
      </c>
      <c r="G246" s="15">
        <v>11</v>
      </c>
      <c r="H246" s="9">
        <f>1778.7/1000000</f>
        <v>0.0017787</v>
      </c>
      <c r="I246" s="17" t="s">
        <v>356</v>
      </c>
      <c r="J246" s="41"/>
    </row>
    <row r="247" spans="1:10" ht="15">
      <c r="A247" s="40" t="s">
        <v>357</v>
      </c>
      <c r="B247" s="8">
        <v>14796</v>
      </c>
      <c r="C247" s="8">
        <v>690</v>
      </c>
      <c r="D247" s="8">
        <v>0.69</v>
      </c>
      <c r="E247" s="12">
        <v>8.9</v>
      </c>
      <c r="F247" s="14">
        <v>14.3</v>
      </c>
      <c r="G247" s="15">
        <v>8.11</v>
      </c>
      <c r="H247" s="9">
        <f>1032.2/1000000</f>
        <v>0.0010322</v>
      </c>
      <c r="I247" s="17" t="s">
        <v>354</v>
      </c>
      <c r="J247" s="41"/>
    </row>
    <row r="248" spans="1:10" ht="15">
      <c r="A248" s="40" t="s">
        <v>358</v>
      </c>
      <c r="B248" s="8">
        <v>68063</v>
      </c>
      <c r="C248" s="8">
        <v>50</v>
      </c>
      <c r="D248" s="8">
        <v>0.05</v>
      </c>
      <c r="E248" s="12">
        <v>6.5</v>
      </c>
      <c r="F248" s="14">
        <v>8.4</v>
      </c>
      <c r="G248" s="15">
        <v>1.6</v>
      </c>
      <c r="H248" s="9">
        <f>87.36/1000000</f>
        <v>8.736E-05</v>
      </c>
      <c r="I248" s="17" t="s">
        <v>359</v>
      </c>
      <c r="J248" s="41"/>
    </row>
    <row r="249" spans="1:10" ht="15">
      <c r="A249" s="40" t="s">
        <v>360</v>
      </c>
      <c r="B249" s="8">
        <v>757187</v>
      </c>
      <c r="C249" s="8">
        <v>3220</v>
      </c>
      <c r="D249" s="8">
        <v>3.22</v>
      </c>
      <c r="E249" s="12">
        <v>14.8</v>
      </c>
      <c r="F249" s="14">
        <v>25.5</v>
      </c>
      <c r="G249" s="15">
        <v>23.2</v>
      </c>
      <c r="H249" s="9">
        <f>8755.7/1000000</f>
        <v>0.0087557</v>
      </c>
      <c r="I249" s="17" t="s">
        <v>174</v>
      </c>
      <c r="J249" s="41"/>
    </row>
    <row r="250" spans="1:10" ht="15">
      <c r="A250" s="40" t="s">
        <v>361</v>
      </c>
      <c r="B250" s="8">
        <v>59099</v>
      </c>
      <c r="C250" s="8">
        <v>24000</v>
      </c>
      <c r="D250" s="8">
        <v>24</v>
      </c>
      <c r="E250" s="12">
        <v>23</v>
      </c>
      <c r="F250" s="14">
        <v>55</v>
      </c>
      <c r="G250" s="15">
        <v>58</v>
      </c>
      <c r="H250" s="9">
        <f>73370/1000000</f>
        <v>0.07337</v>
      </c>
      <c r="I250" s="17" t="s">
        <v>181</v>
      </c>
      <c r="J250" s="41"/>
    </row>
    <row r="251" spans="1:10" ht="15">
      <c r="A251" s="40" t="s">
        <v>362</v>
      </c>
      <c r="B251" s="8">
        <v>254304</v>
      </c>
      <c r="C251" s="8">
        <v>50</v>
      </c>
      <c r="D251" s="8">
        <v>0.05</v>
      </c>
      <c r="E251" s="12">
        <v>3.5</v>
      </c>
      <c r="F251" s="14">
        <v>13.9</v>
      </c>
      <c r="G251" s="15">
        <v>5.4</v>
      </c>
      <c r="H251" s="9">
        <f>262.71/1000000</f>
        <v>0.00026271</v>
      </c>
      <c r="I251" s="17" t="s">
        <v>12</v>
      </c>
      <c r="J251" s="41"/>
    </row>
    <row r="252" spans="1:10" ht="15">
      <c r="A252" s="40" t="s">
        <v>363</v>
      </c>
      <c r="B252" s="8">
        <v>966932</v>
      </c>
      <c r="C252" s="8">
        <v>50</v>
      </c>
      <c r="D252" s="8">
        <v>0.05</v>
      </c>
      <c r="E252" s="12">
        <v>5</v>
      </c>
      <c r="F252" s="14">
        <v>8</v>
      </c>
      <c r="G252" s="15">
        <v>2</v>
      </c>
      <c r="H252" s="9">
        <f>80/1000000</f>
        <v>8E-05</v>
      </c>
      <c r="I252" s="17" t="s">
        <v>364</v>
      </c>
      <c r="J252" s="41"/>
    </row>
    <row r="253" spans="1:10" ht="90">
      <c r="A253" s="44" t="s">
        <v>365</v>
      </c>
      <c r="B253" s="45">
        <v>148105</v>
      </c>
      <c r="C253" s="45">
        <v>500</v>
      </c>
      <c r="D253" s="45">
        <v>0.5</v>
      </c>
      <c r="E253" s="46">
        <v>25</v>
      </c>
      <c r="F253" s="47">
        <v>29</v>
      </c>
      <c r="G253" s="48" t="s">
        <v>137</v>
      </c>
      <c r="H253" s="49">
        <v>0</v>
      </c>
      <c r="I253" s="50" t="s">
        <v>12</v>
      </c>
      <c r="J253" s="51" t="s">
        <v>366</v>
      </c>
    </row>
    <row r="257" spans="1:5" ht="15">
      <c r="A257" s="20" t="s">
        <v>367</v>
      </c>
      <c r="B257" s="21"/>
      <c r="C257" s="21"/>
      <c r="D257" s="21"/>
      <c r="E257" s="21"/>
    </row>
  </sheetData>
  <mergeCells count="2">
    <mergeCell ref="A1:J1"/>
    <mergeCell ref="A95:J95"/>
  </mergeCells>
  <printOptions/>
  <pageMargins left="0.511805555555555" right="0.511805555555555" top="0.7875" bottom="0.7875" header="0.511805555555555" footer="0.511805555555555"/>
  <pageSetup horizontalDpi="300" verticalDpi="300" orientation="landscape" paperSize="9" r:id="rId4"/>
  <drawing r:id="rId3"/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285a2b-e955-40ab-9527-b6bb31f33379" xsi:nil="true"/>
    <FEITO xmlns="d6ed2e64-389f-44ae-8b56-9f57ab3a00b4">true</FEITO>
    <lcf76f155ced4ddcb4097134ff3c332f xmlns="d6ed2e64-389f-44ae-8b56-9f57ab3a00b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A0DDBE4F55C04A9CF1DDB444FB1B18" ma:contentTypeVersion="18" ma:contentTypeDescription="Crie um novo documento." ma:contentTypeScope="" ma:versionID="8dcc72fcaccae207aa2cff1a2b69d497">
  <xsd:schema xmlns:xsd="http://www.w3.org/2001/XMLSchema" xmlns:xs="http://www.w3.org/2001/XMLSchema" xmlns:p="http://schemas.microsoft.com/office/2006/metadata/properties" xmlns:ns2="d6ed2e64-389f-44ae-8b56-9f57ab3a00b4" xmlns:ns3="c3285a2b-e955-40ab-9527-b6bb31f33379" targetNamespace="http://schemas.microsoft.com/office/2006/metadata/properties" ma:root="true" ma:fieldsID="aca5961ed11b0e14771e41b638de3aad" ns2:_="" ns3:_="">
    <xsd:import namespace="d6ed2e64-389f-44ae-8b56-9f57ab3a00b4"/>
    <xsd:import namespace="c3285a2b-e955-40ab-9527-b6bb31f333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FEITO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d2e64-389f-44ae-8b56-9f57ab3a0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FEITO" ma:index="21" nillable="true" ma:displayName="FEITO" ma:default="1" ma:format="Dropdown" ma:internalName="FEITO">
      <xsd:simpleType>
        <xsd:restriction base="dms:Boolea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5a2b-e955-40ab-9527-b6bb31f33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2fed-92c8-413c-bba7-a8371ce7eabc}" ma:internalName="TaxCatchAll" ma:showField="CatchAllData" ma:web="c3285a2b-e955-40ab-9527-b6bb31f33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A88DA-F512-4D6C-9A92-19A2F38875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3B08F-F34C-4731-9E36-FA6742BD8760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d6ed2e64-389f-44ae-8b56-9f57ab3a00b4"/>
    <ds:schemaRef ds:uri="http://schemas.microsoft.com/office/2006/documentManagement/types"/>
    <ds:schemaRef ds:uri="http://www.w3.org/XML/1998/namespace"/>
    <ds:schemaRef ds:uri="c3285a2b-e955-40ab-9527-b6bb31f3337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7433AE-A496-4A9C-9968-6344AF91D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d2e64-389f-44ae-8b56-9f57ab3a00b4"/>
    <ds:schemaRef ds:uri="c3285a2b-e955-40ab-9527-b6bb31f33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Bones Costa</dc:creator>
  <cp:keywords/>
  <dc:description/>
  <cp:lastModifiedBy>Simone de Oliveira Capanema</cp:lastModifiedBy>
  <dcterms:created xsi:type="dcterms:W3CDTF">2019-04-15T11:21:18Z</dcterms:created>
  <dcterms:modified xsi:type="dcterms:W3CDTF">2023-12-29T10:23:58Z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0x01010034A0DDBE4F55C04A9CF1DDB444FB1B18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</Properties>
</file>