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pmg-my.sharepoint.com/personal/pbferreira_mpmg_mp_br/Documents/Documentos/TRABALHO/PROCESSOS/PG - 10930 - pl 244 - VoIP/Pregão/"/>
    </mc:Choice>
  </mc:AlternateContent>
  <xr:revisionPtr revIDLastSave="3" documentId="8_{C932883C-DBF4-468A-8E54-0C4EEF3FCEEB}" xr6:coauthVersionLast="47" xr6:coauthVersionMax="47" xr10:uidLastSave="{593C4517-97B2-4039-A18D-B2E1CE265063}"/>
  <bookViews>
    <workbookView xWindow="19090" yWindow="-110" windowWidth="19420" windowHeight="11020" tabRatio="310" xr2:uid="{00000000-000D-0000-FFFF-FFFF00000000}"/>
  </bookViews>
  <sheets>
    <sheet name="Lotes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2" i="1" l="1"/>
  <c r="AN22" i="1"/>
  <c r="AM22" i="1"/>
  <c r="AL22" i="1"/>
  <c r="AO17" i="1"/>
  <c r="AN17" i="1"/>
  <c r="AM17" i="1"/>
  <c r="AL17" i="1"/>
  <c r="AO15" i="1" l="1"/>
  <c r="AN15" i="1"/>
  <c r="AM15" i="1"/>
  <c r="AL15" i="1"/>
  <c r="AO14" i="1"/>
  <c r="AN14" i="1"/>
  <c r="AM14" i="1"/>
  <c r="AL14" i="1"/>
  <c r="AK27" i="1"/>
  <c r="W27" i="1"/>
  <c r="U27" i="1"/>
  <c r="P27" i="1"/>
  <c r="O27" i="1"/>
  <c r="N27" i="1"/>
  <c r="M27" i="1"/>
  <c r="L27" i="1"/>
  <c r="U26" i="1"/>
  <c r="P26" i="1"/>
  <c r="O26" i="1"/>
  <c r="N26" i="1"/>
  <c r="M26" i="1"/>
  <c r="L26" i="1"/>
  <c r="AG25" i="1"/>
  <c r="V25" i="1"/>
  <c r="U25" i="1"/>
  <c r="P25" i="1"/>
  <c r="O25" i="1"/>
  <c r="N25" i="1"/>
  <c r="M25" i="1"/>
  <c r="L25" i="1"/>
  <c r="AJ24" i="1"/>
  <c r="AG24" i="1"/>
  <c r="AE24" i="1"/>
  <c r="P24" i="1"/>
  <c r="O24" i="1"/>
  <c r="N24" i="1"/>
  <c r="M24" i="1"/>
  <c r="L24" i="1"/>
  <c r="AD19" i="1"/>
  <c r="Y19" i="1"/>
  <c r="X19" i="1"/>
  <c r="P19" i="1"/>
  <c r="O19" i="1"/>
  <c r="N19" i="1"/>
  <c r="M19" i="1"/>
  <c r="L19" i="1"/>
  <c r="AH18" i="1"/>
  <c r="AD18" i="1"/>
  <c r="AC18" i="1"/>
  <c r="AB18" i="1"/>
  <c r="AA18" i="1"/>
  <c r="Z18" i="1"/>
  <c r="P18" i="1"/>
  <c r="O18" i="1"/>
  <c r="N18" i="1"/>
  <c r="M18" i="1"/>
  <c r="L18" i="1"/>
  <c r="AO26" i="1" l="1"/>
  <c r="AN26" i="1"/>
  <c r="AM26" i="1"/>
  <c r="AL26" i="1"/>
  <c r="AM27" i="1"/>
  <c r="AL27" i="1"/>
  <c r="AO27" i="1"/>
  <c r="AN27" i="1"/>
  <c r="AO20" i="1"/>
  <c r="AN20" i="1"/>
  <c r="AM20" i="1"/>
  <c r="AL20" i="1"/>
  <c r="AO23" i="1"/>
  <c r="AN23" i="1"/>
  <c r="AM23" i="1"/>
  <c r="AL23" i="1"/>
  <c r="AO21" i="1" l="1"/>
  <c r="AN21" i="1"/>
  <c r="AM21" i="1"/>
  <c r="AL21" i="1"/>
  <c r="AO16" i="1" l="1"/>
  <c r="AN16" i="1"/>
  <c r="AM16" i="1"/>
  <c r="AL16" i="1"/>
  <c r="AO25" i="1"/>
  <c r="AN25" i="1"/>
  <c r="AM25" i="1"/>
  <c r="AL25" i="1"/>
  <c r="AM18" i="1"/>
  <c r="AL18" i="1"/>
  <c r="AO18" i="1"/>
  <c r="AN18" i="1"/>
  <c r="AL19" i="1"/>
  <c r="AN19" i="1"/>
  <c r="AO19" i="1"/>
  <c r="AM19" i="1"/>
  <c r="AO24" i="1"/>
  <c r="AN24" i="1"/>
  <c r="AM24" i="1"/>
  <c r="AL24" i="1"/>
  <c r="AP26" i="1" l="1"/>
  <c r="AQ26" i="1" s="1"/>
  <c r="AP24" i="1"/>
  <c r="AQ24" i="1" s="1"/>
  <c r="AP22" i="1"/>
  <c r="AQ22" i="1" s="1"/>
  <c r="AP17" i="1"/>
  <c r="AQ17" i="1" s="1"/>
  <c r="AP16" i="1"/>
  <c r="AQ16" i="1" s="1"/>
  <c r="AP20" i="1"/>
  <c r="AQ20" i="1" s="1"/>
  <c r="AP25" i="1"/>
  <c r="AQ25" i="1" s="1"/>
  <c r="AP19" i="1"/>
  <c r="AQ19" i="1" s="1"/>
  <c r="AP18" i="1"/>
  <c r="AQ18" i="1" s="1"/>
  <c r="AP23" i="1"/>
  <c r="AQ23" i="1" s="1"/>
  <c r="AP21" i="1"/>
  <c r="AQ21" i="1" s="1"/>
  <c r="AP15" i="1" l="1"/>
  <c r="AQ15" i="1" s="1"/>
  <c r="AP14" i="1"/>
  <c r="AQ14" i="1" s="1"/>
  <c r="AP27" i="1"/>
  <c r="AQ27" i="1" s="1"/>
  <c r="AQ28" i="1" l="1"/>
  <c r="J7" i="1" s="1"/>
</calcChain>
</file>

<file path=xl/sharedStrings.xml><?xml version="1.0" encoding="utf-8"?>
<sst xmlns="http://schemas.openxmlformats.org/spreadsheetml/2006/main" count="108" uniqueCount="70">
  <si>
    <t>MAPA DE PREÇOS</t>
  </si>
  <si>
    <t>PROCESSO SEI: 19.16.1216.0010930/2024-39</t>
  </si>
  <si>
    <t>OBJETO: Prestação de serviço continuado de solução integrada de comunicação com uso de tecnologia VoIP (Voice over IP)</t>
  </si>
  <si>
    <t>TOTAL ESTIMADO DO PROCESSO:</t>
  </si>
  <si>
    <t>FUNDAMENTO LEGAL: LEI Nº 14.133/2021</t>
  </si>
  <si>
    <t>LOTE 1</t>
  </si>
  <si>
    <t>ITEM</t>
  </si>
  <si>
    <t>PRAZO EM MESES</t>
  </si>
  <si>
    <t>UNIDADE DE MEDIDA</t>
  </si>
  <si>
    <t>DESCRIÇÃO RESUMIDA DO ITEM</t>
  </si>
  <si>
    <t>CÓDIGO SIAD</t>
  </si>
  <si>
    <t xml:space="preserve">ORÇAMENTOS DE FORNECEDORES </t>
  </si>
  <si>
    <t>PRESÇOS PÚBLICOS</t>
  </si>
  <si>
    <t>ANÁLISE DOS PREÇOS</t>
  </si>
  <si>
    <t>VALOR REFERENCIAL ESTIMADO</t>
  </si>
  <si>
    <t>QUANTIDADE</t>
  </si>
  <si>
    <t>PREÇO UNITÁRIO</t>
  </si>
  <si>
    <t>COEFICIENTE DE VARIAÇÃO</t>
  </si>
  <si>
    <t>MENOR</t>
  </si>
  <si>
    <t>MÉDIA</t>
  </si>
  <si>
    <t>MEDIANA</t>
  </si>
  <si>
    <t>UNITÁRIO</t>
  </si>
  <si>
    <t>UNIDADE</t>
  </si>
  <si>
    <t>ENTRONCAMENTO SIP - LOCACAO DE TRONCO SIP PARA CENTRAL
COMUNICACAO</t>
  </si>
  <si>
    <t>SISTEMA DE COMUNICAÇÃO BASEADO EM IP - LOCACAO DE CENTRAL DE TELEFONIA</t>
  </si>
  <si>
    <t>APARELHO DE TELEFONIA IP (COMODATO) - LOCACAO DE APARELHO TELEFONICO IP (5.000 UNIDADES)</t>
  </si>
  <si>
    <t xml:space="preserve">
LICENCIAMENTO DE RAMAIS E SOFTPHONES, COM LIGAÇÕES ILIMITADAS PARA TRÁFEGO LOCAL E LDN - SERVICOS DE FORNECIMENTO DE TELEFONIA
FIXA, TAXAS, TARIFAS E INSTALACOES (7000 LICENÇAS)</t>
  </si>
  <si>
    <t>MINUTOS</t>
  </si>
  <si>
    <t>LIGAÇÕES LONGA DISTÂNCIA INTERNACIONAL – FIXO - FIXO - SERVIÇO DE TLEFONIA FIXA DDI (20 MINUTOS)</t>
  </si>
  <si>
    <t>LIGAÇÕES LONGA DISTÂNCIA INTERNACIONAL – FIXO - MÓVEL - SERVIÇO DE TLEFONIA FIXA DDI (20 MINUTOS)</t>
  </si>
  <si>
    <t>SERVIÇO DE IMPLANTAÇÃO DA SOLUÇÃO
CENTRAL</t>
  </si>
  <si>
    <t>SUPORTE TÉCNICO E MANUTENÇÃO DA
SOLUÇÃO DE TELEFONIA IP</t>
  </si>
  <si>
    <t>TREINAMENTO E CAPACITAÇÃO DA SOLUÇÃO</t>
  </si>
  <si>
    <t>ASSINATURA MENSAL 0800 - SERVIÇO DE TELEFONIA DE ATENDIMENTO AO
CIDADAO</t>
  </si>
  <si>
    <t>ORIGEM LOCAL FIXO - FIXO - SERVIÇO DE TELEFONIA DE ATENDIMENTO AO
CIDADAO (1.000 MINUTOS)</t>
  </si>
  <si>
    <t>ORIGEM LOCAL MÓVEL - FIXO - SERVIÇO DE TELEFONIA DE ATENDIMENTO AO
CIDADAO (4.000 MINUTOS)</t>
  </si>
  <si>
    <t>ORIGEM LONGA DISTÂNCIA FIXO - FIXO - SERVIÇO DE TELEFONIA DE ATENDIMENTO AO
CIDADAO (2.000 MINUTOS)</t>
  </si>
  <si>
    <t>ORIGEM LONGA DISTÂNCIA MÓVEL - FIXO - SERVIÇO DE TELEFONIA DE ATENDIMENTO AO
CIDADAO (5.100 MINUTOS)</t>
  </si>
  <si>
    <t>Preços que foram considerados.</t>
  </si>
  <si>
    <t>1 -COMANDO DO EXÉRCITO_DEPOSITO DE SUPRIMENTO_DISPENSA DE LICITAÇÃO_IDENTIFICAÇÃO DA COMPRA:11/2023</t>
  </si>
  <si>
    <t>2 - DEFENSORIA PÚBLICA DO ESTADO DE RORAIMA - PREGÃO 06/2023</t>
  </si>
  <si>
    <t>3 - TRIBUNAL DE CONTAS DO ESTADO DO AMAPÁ_PREGÃO 13_2023</t>
  </si>
  <si>
    <t>4 - MPSP (CT. Nº 093/2021)</t>
  </si>
  <si>
    <t xml:space="preserve"> 11 - MINISTERIO DA FAZENDA - SUPERINTENDÊNCIA DE ADMINISTRAÇÃO DO MF - BA - Pregão Eletrônico 06/2023</t>
  </si>
  <si>
    <t>12 - COMANDO DA MARINHA - CENTRO DE INTEND.DA MARINHA EM RIO GRANDE - Pregão 01/2023</t>
  </si>
  <si>
    <t>13 - TRIBUNAL REGIONAL ELEITORAL DE SAO PAULO - 91/2023</t>
  </si>
  <si>
    <t>14 - AGENCIA NACIONAL DE ENERGIA ELETRICA - DF - Pregão 22/2023</t>
  </si>
  <si>
    <t>15 - Comando da Aeronáutica - MAER-EPCAR-ESCOLA PREPARAT.CADETES DO AR/MG - Pregão 72/2023</t>
  </si>
  <si>
    <t>16 - Inst. Fed. De Educ., Cienc. E Tec. Do Trian. Mineiro - Pregão 43/2023</t>
  </si>
  <si>
    <t>17 - EMPRAPA - Amazônia Oriental - Belém - PA - Pregão Eletrônico nº 57/2023 - ITENS 7 E 8</t>
  </si>
  <si>
    <t>18 - Ministério da Defesa - Comando da Marinha - Base Naval da Ilha das Cobras - Pregão Eletrônico nº 30/2023</t>
  </si>
  <si>
    <t>19 - Prefeitura Municipal de Estância de Atibaia_SP - Pregâo Eletrônico nº 100_2024 -  Central Telefônica 900 ramais IP</t>
  </si>
  <si>
    <t>20 - Tribunal de Contas do Estado do Amapá - Pregão nº 13/2023</t>
  </si>
  <si>
    <t>21 - Prefeitura Municipal de Caxias do Sul/RS - Pregão Eletrônico nº 142/2023</t>
  </si>
  <si>
    <t>22 - Serviço Autônomo de Água e Esgoto - SAAE (Passos) - Pregão Eletrônico  nº 03/2024</t>
  </si>
  <si>
    <t>24 - Câmara Municipal de São Gonçalo do Rio Abaixo - PREGÃO ELETRÔNICO nº 01_2024</t>
  </si>
  <si>
    <t>25 - Comando do Exército_Batalhão de Engenharia de Construção_Pregão Eletrônico 05_2023</t>
  </si>
  <si>
    <t>Preços com diferenças relevantes em relação aos demais e que foram desconsiderados dos cálculos.</t>
  </si>
  <si>
    <t>6 - COMANDO DO EXERCITO - BATALHAO DE ENGENHARIA DE CONSTRUCAO - PREGÃO ELETRÔNICO 05/2023</t>
  </si>
  <si>
    <t>5- TRE_PE (CT nº 04_2023)</t>
  </si>
  <si>
    <t>7 - EMBRAPA AGROINDUSTRIA TROPICAL_FORTALEZA_CE - Preg. Eletr. 06_2023+W12:AD1W12:AM12</t>
  </si>
  <si>
    <t>Preços  com diferenças relevantes à menor em relação aos demais e que foram desconsiderados dos cálculos.</t>
  </si>
  <si>
    <t xml:space="preserve">PREÇO UNITÁRIO MENSAL </t>
  </si>
  <si>
    <t>TOTAL (VALOR UNITÁRIO * QUANTIDADE DE MESES * QUANTIDADE)</t>
  </si>
  <si>
    <t>1 - 3CORP TECHNOLOGY INFRAESTRUTURA DE TELECOM LTDA(CNPJ 04.238.297/0001-89)</t>
  </si>
  <si>
    <t>2 - MUNDO TELECOMUNICAÇÕES E INFORMÁTICA LTDA (CNPJ 07.403.266/0001-24)</t>
  </si>
  <si>
    <t>3 - WORLD TELECOM LTDA (CNPJ 00.903.429/0001-99)</t>
  </si>
  <si>
    <t>4 - MÉTODO TELECOMUNICAÇÕES E COMÉRCIO LTDA (65.295.172/0001-85)</t>
  </si>
  <si>
    <t>5 - ORBITEL TELECOMUNICAÇÕES E INFORMÁTICA LTDA (37.168.895/0001-88)</t>
  </si>
  <si>
    <t>DATA DA CONCLUSÃO: 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</si>
</sst>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3" borderId="0" xfId="2" applyFill="1"/>
    <xf numFmtId="39" fontId="5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44" fontId="6" fillId="0" borderId="5" xfId="4" applyFont="1" applyFill="1" applyBorder="1" applyAlignment="1" applyProtection="1">
      <alignment horizontal="center" vertical="center"/>
    </xf>
    <xf numFmtId="39" fontId="5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>
      <alignment vertical="center" wrapText="1"/>
    </xf>
    <xf numFmtId="44" fontId="5" fillId="7" borderId="5" xfId="0" applyNumberFormat="1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44" fontId="8" fillId="0" borderId="5" xfId="4" applyFont="1" applyFill="1" applyBorder="1" applyAlignment="1" applyProtection="1">
      <alignment horizontal="center" vertical="center"/>
    </xf>
    <xf numFmtId="44" fontId="6" fillId="3" borderId="5" xfId="4" applyFont="1" applyFill="1" applyBorder="1" applyAlignment="1" applyProtection="1">
      <alignment vertical="center"/>
    </xf>
    <xf numFmtId="44" fontId="8" fillId="3" borderId="5" xfId="4" applyFont="1" applyFill="1" applyBorder="1" applyAlignment="1" applyProtection="1">
      <alignment horizontal="center" vertical="center"/>
    </xf>
    <xf numFmtId="44" fontId="8" fillId="3" borderId="5" xfId="4" applyFont="1" applyFill="1" applyBorder="1" applyAlignment="1">
      <alignment horizontal="center" vertical="center"/>
    </xf>
    <xf numFmtId="44" fontId="8" fillId="10" borderId="5" xfId="4" applyFont="1" applyFill="1" applyBorder="1" applyAlignment="1" applyProtection="1">
      <alignment horizontal="center" vertical="center"/>
    </xf>
    <xf numFmtId="44" fontId="1" fillId="10" borderId="5" xfId="4" applyFont="1" applyFill="1" applyBorder="1" applyAlignment="1">
      <alignment horizontal="center" vertical="center"/>
    </xf>
    <xf numFmtId="44" fontId="6" fillId="10" borderId="5" xfId="4" applyFont="1" applyFill="1" applyBorder="1" applyAlignment="1" applyProtection="1">
      <alignment vertical="center"/>
    </xf>
    <xf numFmtId="44" fontId="8" fillId="9" borderId="5" xfId="4" applyFont="1" applyFill="1" applyBorder="1" applyAlignment="1" applyProtection="1">
      <alignment horizontal="center" vertical="center"/>
    </xf>
    <xf numFmtId="44" fontId="1" fillId="9" borderId="5" xfId="4" applyFont="1" applyFill="1" applyBorder="1" applyAlignment="1">
      <alignment horizontal="center" vertical="center"/>
    </xf>
    <xf numFmtId="44" fontId="8" fillId="11" borderId="5" xfId="4" applyFont="1" applyFill="1" applyBorder="1" applyAlignment="1" applyProtection="1">
      <alignment horizontal="center" vertical="center"/>
    </xf>
    <xf numFmtId="44" fontId="0" fillId="9" borderId="5" xfId="4" applyFont="1" applyFill="1" applyBorder="1" applyAlignment="1">
      <alignment horizontal="center" vertical="center"/>
    </xf>
    <xf numFmtId="44" fontId="1" fillId="11" borderId="5" xfId="4" applyFont="1" applyFill="1" applyBorder="1" applyAlignment="1">
      <alignment horizontal="center" vertical="center"/>
    </xf>
    <xf numFmtId="9" fontId="0" fillId="0" borderId="0" xfId="0" applyNumberFormat="1"/>
    <xf numFmtId="44" fontId="6" fillId="3" borderId="5" xfId="4" applyFont="1" applyFill="1" applyBorder="1" applyAlignment="1">
      <alignment vertical="center"/>
    </xf>
    <xf numFmtId="44" fontId="8" fillId="9" borderId="5" xfId="4" applyFont="1" applyFill="1" applyBorder="1" applyAlignment="1">
      <alignment horizontal="center" vertical="center"/>
    </xf>
    <xf numFmtId="44" fontId="8" fillId="10" borderId="5" xfId="4" applyFont="1" applyFill="1" applyBorder="1" applyAlignment="1">
      <alignment horizontal="center" vertical="center"/>
    </xf>
    <xf numFmtId="0" fontId="0" fillId="3" borderId="0" xfId="0" applyFill="1"/>
    <xf numFmtId="0" fontId="9" fillId="9" borderId="3" xfId="0" applyFont="1" applyFill="1" applyBorder="1"/>
    <xf numFmtId="0" fontId="10" fillId="0" borderId="9" xfId="0" applyFont="1" applyBorder="1"/>
    <xf numFmtId="0" fontId="11" fillId="1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0" fillId="0" borderId="9" xfId="0" applyBorder="1"/>
    <xf numFmtId="0" fontId="0" fillId="11" borderId="4" xfId="0" applyFill="1" applyBorder="1"/>
    <xf numFmtId="0" fontId="12" fillId="0" borderId="9" xfId="0" applyFont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9" fontId="6" fillId="3" borderId="5" xfId="3" applyFont="1" applyFill="1" applyBorder="1" applyAlignment="1" applyProtection="1">
      <alignment vertical="center"/>
    </xf>
    <xf numFmtId="165" fontId="6" fillId="3" borderId="5" xfId="4" applyNumberFormat="1" applyFont="1" applyFill="1" applyBorder="1" applyAlignment="1" applyProtection="1">
      <alignment vertical="center"/>
    </xf>
    <xf numFmtId="44" fontId="6" fillId="10" borderId="5" xfId="4" applyFont="1" applyFill="1" applyBorder="1" applyAlignment="1">
      <alignment vertical="center"/>
    </xf>
    <xf numFmtId="0" fontId="10" fillId="0" borderId="9" xfId="0" applyFont="1" applyBorder="1" applyAlignment="1">
      <alignment horizontal="left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5">
    <cellStyle name="Moeda" xfId="4" builtinId="4"/>
    <cellStyle name="Neutro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309816</xdr:colOff>
      <xdr:row>0</xdr:row>
      <xdr:rowOff>771440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95250"/>
          <a:ext cx="19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7"/>
  <sheetViews>
    <sheetView tabSelected="1" topLeftCell="A10" zoomScale="110" zoomScaleNormal="110" workbookViewId="0">
      <selection activeCell="AP11" sqref="AP11:AQ12"/>
    </sheetView>
  </sheetViews>
  <sheetFormatPr defaultColWidth="9.1796875" defaultRowHeight="14.5" x14ac:dyDescent="0.35"/>
  <cols>
    <col min="1" max="1" width="3.7265625" style="1" customWidth="1"/>
    <col min="2" max="3" width="2.7265625" customWidth="1"/>
    <col min="4" max="4" width="7.453125" customWidth="1"/>
    <col min="5" max="5" width="11.26953125" customWidth="1"/>
    <col min="6" max="6" width="9" customWidth="1"/>
    <col min="7" max="9" width="8.7265625"/>
    <col min="10" max="10" width="8" customWidth="1"/>
    <col min="11" max="11" width="8.26953125" customWidth="1"/>
    <col min="12" max="12" width="28.1796875" hidden="1" customWidth="1"/>
    <col min="13" max="16" width="21.81640625" hidden="1" customWidth="1"/>
    <col min="17" max="17" width="27.453125" hidden="1" customWidth="1"/>
    <col min="18" max="37" width="21.81640625" hidden="1" customWidth="1"/>
    <col min="38" max="38" width="13.1796875" hidden="1" customWidth="1"/>
    <col min="39" max="39" width="14.453125" hidden="1" customWidth="1"/>
    <col min="40" max="40" width="13.7265625" hidden="1" customWidth="1"/>
    <col min="41" max="41" width="14.453125" hidden="1" customWidth="1"/>
    <col min="42" max="42" width="13.453125" customWidth="1"/>
    <col min="43" max="43" width="16.26953125" customWidth="1"/>
    <col min="44" max="16384" width="9.1796875" style="1"/>
  </cols>
  <sheetData>
    <row r="1" spans="2:43" ht="67.5" customHeight="1" x14ac:dyDescent="0.3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2:43" ht="15.5" x14ac:dyDescent="0.3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2:43" ht="15.5" x14ac:dyDescent="0.3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2:43" x14ac:dyDescent="0.35"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43" x14ac:dyDescent="0.35">
      <c r="B5" s="64" t="s">
        <v>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2:43" x14ac:dyDescent="0.35">
      <c r="B6" s="64" t="s">
        <v>69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7" spans="2:43" x14ac:dyDescent="0.35">
      <c r="B7" s="64" t="s">
        <v>3</v>
      </c>
      <c r="C7" s="64"/>
      <c r="D7" s="64"/>
      <c r="E7" s="64"/>
      <c r="F7" s="64"/>
      <c r="G7" s="64"/>
      <c r="H7" s="64"/>
      <c r="I7" s="64"/>
      <c r="J7" s="65">
        <f>AQ28</f>
        <v>10533526.199999999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</row>
    <row r="8" spans="2:43" x14ac:dyDescent="0.35">
      <c r="B8" s="64" t="s">
        <v>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spans="2:43" ht="15" customHeight="1" x14ac:dyDescent="0.3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2:43" x14ac:dyDescent="0.35">
      <c r="B10" s="45" t="s">
        <v>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7"/>
    </row>
    <row r="11" spans="2:43" ht="26.25" customHeight="1" x14ac:dyDescent="0.35">
      <c r="B11" s="67" t="s">
        <v>6</v>
      </c>
      <c r="C11" s="68"/>
      <c r="D11" s="76" t="s">
        <v>7</v>
      </c>
      <c r="E11" s="10"/>
      <c r="F11" s="76" t="s">
        <v>8</v>
      </c>
      <c r="G11" s="67" t="s">
        <v>9</v>
      </c>
      <c r="H11" s="79"/>
      <c r="I11" s="79"/>
      <c r="J11" s="68"/>
      <c r="K11" s="76" t="s">
        <v>10</v>
      </c>
      <c r="L11" s="66" t="s">
        <v>11</v>
      </c>
      <c r="M11" s="66"/>
      <c r="N11" s="66"/>
      <c r="O11" s="66"/>
      <c r="P11" s="66"/>
      <c r="Q11" s="82" t="s">
        <v>12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4"/>
      <c r="AL11" s="73" t="s">
        <v>13</v>
      </c>
      <c r="AM11" s="74"/>
      <c r="AN11" s="74"/>
      <c r="AO11" s="75"/>
      <c r="AP11" s="48" t="s">
        <v>14</v>
      </c>
      <c r="AQ11" s="49"/>
    </row>
    <row r="12" spans="2:43" ht="114.75" customHeight="1" x14ac:dyDescent="0.35">
      <c r="B12" s="69"/>
      <c r="C12" s="70"/>
      <c r="D12" s="77"/>
      <c r="E12" s="11" t="s">
        <v>15</v>
      </c>
      <c r="F12" s="77"/>
      <c r="G12" s="69"/>
      <c r="H12" s="80"/>
      <c r="I12" s="80"/>
      <c r="J12" s="70"/>
      <c r="K12" s="77"/>
      <c r="L12" s="3" t="s">
        <v>64</v>
      </c>
      <c r="M12" s="3" t="s">
        <v>65</v>
      </c>
      <c r="N12" s="3" t="s">
        <v>66</v>
      </c>
      <c r="O12" s="3" t="s">
        <v>67</v>
      </c>
      <c r="P12" s="4" t="s">
        <v>68</v>
      </c>
      <c r="Q12" s="4" t="s">
        <v>39</v>
      </c>
      <c r="R12" s="4" t="s">
        <v>40</v>
      </c>
      <c r="S12" s="4" t="s">
        <v>41</v>
      </c>
      <c r="T12" s="4" t="s">
        <v>42</v>
      </c>
      <c r="U12" s="4" t="s">
        <v>59</v>
      </c>
      <c r="V12" s="4" t="s">
        <v>58</v>
      </c>
      <c r="W12" s="4" t="s">
        <v>60</v>
      </c>
      <c r="X12" s="4" t="s">
        <v>43</v>
      </c>
      <c r="Y12" s="4" t="s">
        <v>44</v>
      </c>
      <c r="Z12" s="4" t="s">
        <v>45</v>
      </c>
      <c r="AA12" s="4" t="s">
        <v>46</v>
      </c>
      <c r="AB12" s="4" t="s">
        <v>47</v>
      </c>
      <c r="AC12" s="4" t="s">
        <v>48</v>
      </c>
      <c r="AD12" s="4" t="s">
        <v>49</v>
      </c>
      <c r="AE12" s="4" t="s">
        <v>50</v>
      </c>
      <c r="AF12" s="4" t="s">
        <v>51</v>
      </c>
      <c r="AG12" s="4" t="s">
        <v>52</v>
      </c>
      <c r="AH12" s="4" t="s">
        <v>53</v>
      </c>
      <c r="AI12" s="4" t="s">
        <v>54</v>
      </c>
      <c r="AJ12" s="4" t="s">
        <v>55</v>
      </c>
      <c r="AK12" s="4" t="s">
        <v>56</v>
      </c>
      <c r="AL12" s="73" t="s">
        <v>16</v>
      </c>
      <c r="AM12" s="74"/>
      <c r="AN12" s="75"/>
      <c r="AO12" s="53" t="s">
        <v>17</v>
      </c>
      <c r="AP12" s="50"/>
      <c r="AQ12" s="51"/>
    </row>
    <row r="13" spans="2:43" ht="68.25" customHeight="1" x14ac:dyDescent="0.35">
      <c r="B13" s="71"/>
      <c r="C13" s="72"/>
      <c r="D13" s="78"/>
      <c r="E13" s="12"/>
      <c r="F13" s="78"/>
      <c r="G13" s="71"/>
      <c r="H13" s="81"/>
      <c r="I13" s="81"/>
      <c r="J13" s="72"/>
      <c r="K13" s="78"/>
      <c r="L13" s="2" t="s">
        <v>62</v>
      </c>
      <c r="M13" s="2" t="s">
        <v>62</v>
      </c>
      <c r="N13" s="2" t="s">
        <v>62</v>
      </c>
      <c r="O13" s="2" t="s">
        <v>62</v>
      </c>
      <c r="P13" s="2" t="s">
        <v>62</v>
      </c>
      <c r="Q13" s="2" t="s">
        <v>62</v>
      </c>
      <c r="R13" s="2" t="s">
        <v>62</v>
      </c>
      <c r="S13" s="2" t="s">
        <v>62</v>
      </c>
      <c r="T13" s="2" t="s">
        <v>62</v>
      </c>
      <c r="U13" s="2" t="s">
        <v>62</v>
      </c>
      <c r="V13" s="2" t="s">
        <v>62</v>
      </c>
      <c r="W13" s="2" t="s">
        <v>62</v>
      </c>
      <c r="X13" s="2" t="s">
        <v>62</v>
      </c>
      <c r="Y13" s="2" t="s">
        <v>62</v>
      </c>
      <c r="Z13" s="2" t="s">
        <v>62</v>
      </c>
      <c r="AA13" s="2" t="s">
        <v>62</v>
      </c>
      <c r="AB13" s="2" t="s">
        <v>62</v>
      </c>
      <c r="AC13" s="2" t="s">
        <v>62</v>
      </c>
      <c r="AD13" s="2" t="s">
        <v>62</v>
      </c>
      <c r="AE13" s="2" t="s">
        <v>62</v>
      </c>
      <c r="AF13" s="2" t="s">
        <v>62</v>
      </c>
      <c r="AG13" s="2" t="s">
        <v>62</v>
      </c>
      <c r="AH13" s="2" t="s">
        <v>62</v>
      </c>
      <c r="AI13" s="2" t="s">
        <v>62</v>
      </c>
      <c r="AJ13" s="2" t="s">
        <v>62</v>
      </c>
      <c r="AK13" s="2" t="s">
        <v>62</v>
      </c>
      <c r="AL13" s="6" t="s">
        <v>18</v>
      </c>
      <c r="AM13" s="6" t="s">
        <v>19</v>
      </c>
      <c r="AN13" s="6" t="s">
        <v>20</v>
      </c>
      <c r="AO13" s="54"/>
      <c r="AP13" s="9" t="s">
        <v>21</v>
      </c>
      <c r="AQ13" s="9" t="s">
        <v>63</v>
      </c>
    </row>
    <row r="14" spans="2:43" ht="79.5" customHeight="1" x14ac:dyDescent="0.35">
      <c r="B14" s="55">
        <v>1</v>
      </c>
      <c r="C14" s="56"/>
      <c r="D14" s="38">
        <v>36</v>
      </c>
      <c r="E14" s="38">
        <v>1</v>
      </c>
      <c r="F14" s="39" t="s">
        <v>22</v>
      </c>
      <c r="G14" s="57" t="s">
        <v>23</v>
      </c>
      <c r="H14" s="58"/>
      <c r="I14" s="58"/>
      <c r="J14" s="59"/>
      <c r="K14" s="40">
        <v>68594</v>
      </c>
      <c r="L14" s="20">
        <v>50000</v>
      </c>
      <c r="M14" s="21">
        <v>171600</v>
      </c>
      <c r="N14" s="18">
        <v>1852.6</v>
      </c>
      <c r="O14" s="17">
        <v>1990</v>
      </c>
      <c r="P14" s="17">
        <v>1300</v>
      </c>
      <c r="Q14" s="13"/>
      <c r="R14" s="15"/>
      <c r="S14" s="15"/>
      <c r="T14" s="17">
        <v>1580.4</v>
      </c>
      <c r="U14" s="15"/>
      <c r="V14" s="15"/>
      <c r="W14" s="15"/>
      <c r="X14" s="13"/>
      <c r="Y14" s="13"/>
      <c r="Z14" s="13"/>
      <c r="AA14" s="13"/>
      <c r="AB14" s="15"/>
      <c r="AC14" s="15"/>
      <c r="AD14" s="13"/>
      <c r="AE14" s="5"/>
      <c r="AF14" s="5"/>
      <c r="AG14" s="5"/>
      <c r="AH14" s="5"/>
      <c r="AI14" s="5"/>
      <c r="AJ14" s="5"/>
      <c r="AK14" s="5"/>
      <c r="AL14" s="14">
        <f>MIN(N14:P14,T14)</f>
        <v>1300</v>
      </c>
      <c r="AM14" s="14">
        <f>ROUND(AVERAGE(N14:P14,T14),2)</f>
        <v>1680.75</v>
      </c>
      <c r="AN14" s="14">
        <f>ROUND(MEDIAN(N14:P14,T14),2)</f>
        <v>1716.5</v>
      </c>
      <c r="AO14" s="41">
        <f>_xlfn.STDEV.S(N14:P14,T14)/AVERAGE(N14:P14,T14)</f>
        <v>0.18183481418806066</v>
      </c>
      <c r="AP14" s="14">
        <f>IF(AO14&lt;=25%,AM14,AN14)</f>
        <v>1680.75</v>
      </c>
      <c r="AQ14" s="42">
        <f t="shared" ref="AQ14:AQ27" si="0">AP14*D14*E14</f>
        <v>60507</v>
      </c>
    </row>
    <row r="15" spans="2:43" ht="72" customHeight="1" x14ac:dyDescent="0.35">
      <c r="B15" s="55">
        <v>2</v>
      </c>
      <c r="C15" s="56"/>
      <c r="D15" s="38">
        <v>36</v>
      </c>
      <c r="E15" s="38">
        <v>1</v>
      </c>
      <c r="F15" s="39" t="s">
        <v>22</v>
      </c>
      <c r="G15" s="57" t="s">
        <v>24</v>
      </c>
      <c r="H15" s="58"/>
      <c r="I15" s="58"/>
      <c r="J15" s="59"/>
      <c r="K15" s="40">
        <v>4502</v>
      </c>
      <c r="L15" s="17">
        <v>2000</v>
      </c>
      <c r="M15" s="21">
        <v>38000</v>
      </c>
      <c r="N15" s="18">
        <v>3658</v>
      </c>
      <c r="O15" s="17">
        <v>1000</v>
      </c>
      <c r="P15" s="17">
        <v>1000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4"/>
      <c r="AF15" s="19">
        <v>3502</v>
      </c>
      <c r="AG15" s="14"/>
      <c r="AH15" s="14"/>
      <c r="AI15" s="14"/>
      <c r="AJ15" s="14"/>
      <c r="AK15" s="14"/>
      <c r="AL15" s="14">
        <f>MIN(L15,N15:P15,AF15)</f>
        <v>1000</v>
      </c>
      <c r="AM15" s="14">
        <f>ROUND(AVERAGE(L15,N15:P15,AF15),2)</f>
        <v>2232</v>
      </c>
      <c r="AN15" s="14">
        <f>ROUND(MEDIAN(L15,N15:P15,AF15),2)</f>
        <v>2000</v>
      </c>
      <c r="AO15" s="41">
        <f>_xlfn.STDEV.S(L15,N15:P15,AF15)/AVERAGE(L15,N15:P15,AF15)</f>
        <v>0.581395884551835</v>
      </c>
      <c r="AP15" s="14">
        <f t="shared" ref="AP15:AP27" si="1">IF(AO15&lt;=25%,AM15,AN15)</f>
        <v>2000</v>
      </c>
      <c r="AQ15" s="42">
        <f t="shared" si="0"/>
        <v>72000</v>
      </c>
    </row>
    <row r="16" spans="2:43" ht="48.75" customHeight="1" x14ac:dyDescent="0.35">
      <c r="B16" s="55">
        <v>3</v>
      </c>
      <c r="C16" s="56"/>
      <c r="D16" s="38">
        <v>36</v>
      </c>
      <c r="E16" s="38">
        <v>5000</v>
      </c>
      <c r="F16" s="39" t="s">
        <v>22</v>
      </c>
      <c r="G16" s="57" t="s">
        <v>25</v>
      </c>
      <c r="H16" s="58"/>
      <c r="I16" s="58"/>
      <c r="J16" s="59"/>
      <c r="K16" s="40">
        <v>68632</v>
      </c>
      <c r="L16" s="17">
        <v>25</v>
      </c>
      <c r="M16" s="18">
        <v>26</v>
      </c>
      <c r="N16" s="23">
        <v>106.2</v>
      </c>
      <c r="O16" s="17">
        <v>16.98</v>
      </c>
      <c r="P16" s="20">
        <v>39</v>
      </c>
      <c r="Q16" s="15"/>
      <c r="R16" s="15"/>
      <c r="S16" s="15"/>
      <c r="T16" s="22">
        <v>6.19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4"/>
      <c r="AF16" s="19">
        <v>18</v>
      </c>
      <c r="AG16" s="19">
        <v>19.899999999999999</v>
      </c>
      <c r="AH16" s="14"/>
      <c r="AI16" s="19">
        <v>14</v>
      </c>
      <c r="AJ16" s="19">
        <v>22.93</v>
      </c>
      <c r="AK16" s="14"/>
      <c r="AL16" s="14">
        <f>MIN(L16:M16,O16,AF16:AG16,AI16:AJ16)</f>
        <v>14</v>
      </c>
      <c r="AM16" s="14">
        <f>ROUND(AVERAGE(L16:M16,O16,AF16:AG16,AI16:AJ16),2)</f>
        <v>20.399999999999999</v>
      </c>
      <c r="AN16" s="14">
        <f>ROUND(MEDIAN(L16:M16,O16,AF16:AG16,AI16:AJ16),2)</f>
        <v>19.899999999999999</v>
      </c>
      <c r="AO16" s="41">
        <f>_xlfn.STDEV.S(L16:M16,O16,AF16:AG16,AI16:AJ16)/AVERAGE(L16:M16,O16,AF16:AG16,AI16:AJ16)</f>
        <v>0.21699212779308941</v>
      </c>
      <c r="AP16" s="14">
        <f t="shared" si="1"/>
        <v>20.399999999999999</v>
      </c>
      <c r="AQ16" s="42">
        <f t="shared" si="0"/>
        <v>3672000</v>
      </c>
    </row>
    <row r="17" spans="2:43" ht="123" customHeight="1" x14ac:dyDescent="0.35">
      <c r="B17" s="55">
        <v>4</v>
      </c>
      <c r="C17" s="56"/>
      <c r="D17" s="38">
        <v>36</v>
      </c>
      <c r="E17" s="38">
        <v>7000</v>
      </c>
      <c r="F17" s="39" t="s">
        <v>22</v>
      </c>
      <c r="G17" s="57" t="s">
        <v>26</v>
      </c>
      <c r="H17" s="58"/>
      <c r="I17" s="58"/>
      <c r="J17" s="59"/>
      <c r="K17" s="40">
        <v>4928</v>
      </c>
      <c r="L17" s="17">
        <v>10</v>
      </c>
      <c r="M17" s="18">
        <v>8.5</v>
      </c>
      <c r="N17" s="18">
        <v>35.4</v>
      </c>
      <c r="O17" s="17">
        <v>48.58</v>
      </c>
      <c r="P17" s="17">
        <v>25</v>
      </c>
      <c r="Q17" s="15"/>
      <c r="R17" s="15"/>
      <c r="S17" s="15"/>
      <c r="T17" s="17">
        <v>9.9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4"/>
      <c r="AF17" s="14"/>
      <c r="AG17" s="19">
        <v>18</v>
      </c>
      <c r="AH17" s="19">
        <v>24.98</v>
      </c>
      <c r="AI17" s="14"/>
      <c r="AJ17" s="14"/>
      <c r="AK17" s="14"/>
      <c r="AL17" s="14">
        <f>MIN(L17:P17,P17,T17,AG17,AH17)</f>
        <v>8.5</v>
      </c>
      <c r="AM17" s="14">
        <f>ROUND(AVERAGE(L17:P17,P17,T17,AG17,AH17),2)</f>
        <v>22.82</v>
      </c>
      <c r="AN17" s="14">
        <f>ROUND(MEDIAN(L17:P17,P17,T17,AG17,AH17),2)</f>
        <v>24.98</v>
      </c>
      <c r="AO17" s="41">
        <f>_xlfn.STDEV.S(L17:P17,P17,T17,AG17,AH17)/AVERAGE(L17:P17,P17,T17,AG17,AH17)</f>
        <v>0.57884023431566411</v>
      </c>
      <c r="AP17" s="14">
        <f t="shared" si="1"/>
        <v>24.98</v>
      </c>
      <c r="AQ17" s="42">
        <f t="shared" si="0"/>
        <v>6294960</v>
      </c>
    </row>
    <row r="18" spans="2:43" ht="54" customHeight="1" x14ac:dyDescent="0.35">
      <c r="B18" s="55">
        <v>5</v>
      </c>
      <c r="C18" s="56"/>
      <c r="D18" s="38">
        <v>36</v>
      </c>
      <c r="E18" s="38">
        <v>20</v>
      </c>
      <c r="F18" s="39" t="s">
        <v>27</v>
      </c>
      <c r="G18" s="57" t="s">
        <v>28</v>
      </c>
      <c r="H18" s="58"/>
      <c r="I18" s="58"/>
      <c r="J18" s="59"/>
      <c r="K18" s="40">
        <v>2766</v>
      </c>
      <c r="L18" s="20">
        <f>37.8</f>
        <v>37.799999999999997</v>
      </c>
      <c r="M18" s="18">
        <f>3.5</f>
        <v>3.5</v>
      </c>
      <c r="N18" s="21">
        <f>1857.32</f>
        <v>1857.32</v>
      </c>
      <c r="O18" s="17">
        <f>2.4</f>
        <v>2.4</v>
      </c>
      <c r="P18" s="20">
        <f>13.82</f>
        <v>13.82</v>
      </c>
      <c r="Q18" s="15"/>
      <c r="R18" s="15"/>
      <c r="S18" s="15"/>
      <c r="T18" s="15"/>
      <c r="U18" s="15"/>
      <c r="V18" s="15"/>
      <c r="W18" s="15"/>
      <c r="X18" s="15"/>
      <c r="Y18" s="15"/>
      <c r="Z18" s="17">
        <f>3</f>
        <v>3</v>
      </c>
      <c r="AA18" s="17">
        <f>2.5</f>
        <v>2.5</v>
      </c>
      <c r="AB18" s="17">
        <f>1.92</f>
        <v>1.92</v>
      </c>
      <c r="AC18" s="17">
        <f>1.28</f>
        <v>1.28</v>
      </c>
      <c r="AD18" s="17">
        <f>4.09</f>
        <v>4.09</v>
      </c>
      <c r="AE18" s="14"/>
      <c r="AF18" s="14"/>
      <c r="AG18" s="14"/>
      <c r="AH18" s="19">
        <f>1.56</f>
        <v>1.56</v>
      </c>
      <c r="AI18" s="14"/>
      <c r="AJ18" s="14"/>
      <c r="AK18" s="14"/>
      <c r="AL18" s="14">
        <f>MIN(M18,O18,Z18:AD18,AH18)</f>
        <v>1.28</v>
      </c>
      <c r="AM18" s="14">
        <f>ROUND(AVERAGE(M18,O18,Z18:AD18,AH18),2)</f>
        <v>2.5299999999999998</v>
      </c>
      <c r="AN18" s="14">
        <f>ROUND(MEDIAN(M18,O18,Z18:AD18,AH18),2)</f>
        <v>2.4500000000000002</v>
      </c>
      <c r="AO18" s="41">
        <f>_xlfn.STDEV.S(M18,O18,Z18:AD18,AH18)/AVERAGE(M18,O18,Z18:AD18,AH18)</f>
        <v>0.38035958842759277</v>
      </c>
      <c r="AP18" s="14">
        <f t="shared" si="1"/>
        <v>2.4500000000000002</v>
      </c>
      <c r="AQ18" s="42">
        <f t="shared" si="0"/>
        <v>1764</v>
      </c>
    </row>
    <row r="19" spans="2:43" ht="87" customHeight="1" x14ac:dyDescent="0.35">
      <c r="B19" s="55">
        <v>6</v>
      </c>
      <c r="C19" s="56"/>
      <c r="D19" s="38">
        <v>36</v>
      </c>
      <c r="E19" s="38">
        <v>20</v>
      </c>
      <c r="F19" s="39" t="s">
        <v>27</v>
      </c>
      <c r="G19" s="57" t="s">
        <v>29</v>
      </c>
      <c r="H19" s="58"/>
      <c r="I19" s="58"/>
      <c r="J19" s="59"/>
      <c r="K19" s="40">
        <v>2766</v>
      </c>
      <c r="L19" s="20">
        <f>51.8</f>
        <v>51.8</v>
      </c>
      <c r="M19" s="18">
        <f>3.5</f>
        <v>3.5</v>
      </c>
      <c r="N19" s="18">
        <f>4.96</f>
        <v>4.96</v>
      </c>
      <c r="O19" s="17">
        <f>2.67</f>
        <v>2.67</v>
      </c>
      <c r="P19" s="20">
        <f>14.07</f>
        <v>14.07</v>
      </c>
      <c r="Q19" s="15"/>
      <c r="R19" s="15"/>
      <c r="S19" s="15"/>
      <c r="T19" s="15"/>
      <c r="U19" s="15"/>
      <c r="V19" s="15"/>
      <c r="W19" s="15"/>
      <c r="X19" s="17">
        <f>3.38</f>
        <v>3.38</v>
      </c>
      <c r="Y19" s="17">
        <f>3.08</f>
        <v>3.08</v>
      </c>
      <c r="Z19" s="15"/>
      <c r="AA19" s="15"/>
      <c r="AB19" s="15"/>
      <c r="AC19" s="15"/>
      <c r="AD19" s="17">
        <f>4.09</f>
        <v>4.09</v>
      </c>
      <c r="AE19" s="14"/>
      <c r="AF19" s="14"/>
      <c r="AG19" s="14"/>
      <c r="AH19" s="14"/>
      <c r="AI19" s="14"/>
      <c r="AJ19" s="14"/>
      <c r="AK19" s="14"/>
      <c r="AL19" s="14">
        <f>MIN(M19:O19,X19:Y19,AD19)</f>
        <v>2.67</v>
      </c>
      <c r="AM19" s="14">
        <f>ROUND(AVERAGE(M19:O19,X19:Y19,AD19),2)</f>
        <v>3.61</v>
      </c>
      <c r="AN19" s="14">
        <f>ROUND(MEDIAN(M19:O19,X19:Y19,AD19),2)</f>
        <v>3.44</v>
      </c>
      <c r="AO19" s="41">
        <f>_xlfn.STDEV.S(M19:O19,X19:Y19,AD19)/AVERAGE(M19:O19,X19:Y19,AD19)</f>
        <v>0.22423237246349792</v>
      </c>
      <c r="AP19" s="14">
        <f t="shared" si="1"/>
        <v>3.61</v>
      </c>
      <c r="AQ19" s="42">
        <f t="shared" si="0"/>
        <v>2599.2000000000003</v>
      </c>
    </row>
    <row r="20" spans="2:43" ht="89.25" customHeight="1" x14ac:dyDescent="0.35">
      <c r="B20" s="55">
        <v>7</v>
      </c>
      <c r="C20" s="56"/>
      <c r="D20" s="38">
        <v>1</v>
      </c>
      <c r="E20" s="38">
        <v>1</v>
      </c>
      <c r="F20" s="39" t="s">
        <v>22</v>
      </c>
      <c r="G20" s="57" t="s">
        <v>30</v>
      </c>
      <c r="H20" s="58"/>
      <c r="I20" s="58"/>
      <c r="J20" s="59"/>
      <c r="K20" s="40">
        <v>83992</v>
      </c>
      <c r="L20" s="17">
        <v>75000</v>
      </c>
      <c r="M20" s="18">
        <v>120000</v>
      </c>
      <c r="N20" s="24">
        <v>9440</v>
      </c>
      <c r="O20" s="20">
        <v>427191</v>
      </c>
      <c r="P20" s="20">
        <v>239400</v>
      </c>
      <c r="Q20" s="15"/>
      <c r="R20" s="15"/>
      <c r="S20" s="15"/>
      <c r="T20" s="17">
        <v>38654.800000000003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4"/>
      <c r="AF20" s="14"/>
      <c r="AG20" s="14"/>
      <c r="AH20" s="14"/>
      <c r="AI20" s="14"/>
      <c r="AJ20" s="14"/>
      <c r="AK20" s="14"/>
      <c r="AL20" s="14">
        <f>MIN(L20:M20,T20)</f>
        <v>38654.800000000003</v>
      </c>
      <c r="AM20" s="14">
        <f>ROUND(AVERAGE((L20:M20,T20)),2)</f>
        <v>77884.929999999993</v>
      </c>
      <c r="AN20" s="14">
        <f>ROUND(MEDIAN((L20:M20,T20)),2)</f>
        <v>75000</v>
      </c>
      <c r="AO20" s="41">
        <f>_xlfn.STDEV.S((L20:M20,T20))/AVERAGE((L20:M20,T20))</f>
        <v>0.52319829151638719</v>
      </c>
      <c r="AP20" s="14">
        <f t="shared" si="1"/>
        <v>75000</v>
      </c>
      <c r="AQ20" s="42">
        <f t="shared" si="0"/>
        <v>75000</v>
      </c>
    </row>
    <row r="21" spans="2:43" ht="57" customHeight="1" x14ac:dyDescent="0.35">
      <c r="B21" s="55">
        <v>8</v>
      </c>
      <c r="C21" s="56"/>
      <c r="D21" s="38">
        <v>36</v>
      </c>
      <c r="E21" s="38">
        <v>1</v>
      </c>
      <c r="F21" s="39" t="s">
        <v>22</v>
      </c>
      <c r="G21" s="57" t="s">
        <v>31</v>
      </c>
      <c r="H21" s="58"/>
      <c r="I21" s="58"/>
      <c r="J21" s="59"/>
      <c r="K21" s="40">
        <v>83984</v>
      </c>
      <c r="L21" s="17">
        <v>7500</v>
      </c>
      <c r="M21" s="18">
        <v>9500</v>
      </c>
      <c r="N21" s="18">
        <v>5310</v>
      </c>
      <c r="O21" s="22">
        <v>500</v>
      </c>
      <c r="P21" s="22">
        <v>1037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4"/>
      <c r="AF21" s="14"/>
      <c r="AG21" s="14"/>
      <c r="AH21" s="14"/>
      <c r="AI21" s="14"/>
      <c r="AJ21" s="14"/>
      <c r="AK21" s="14"/>
      <c r="AL21" s="14">
        <f>MIN(L21:N21)</f>
        <v>5310</v>
      </c>
      <c r="AM21" s="14">
        <f>ROUND(AVERAGE(L21:N21),2)</f>
        <v>7436.67</v>
      </c>
      <c r="AN21" s="14">
        <f>ROUND(MEDIAN(L21:N21),2)</f>
        <v>7500</v>
      </c>
      <c r="AO21" s="41">
        <f>_xlfn.STDEV.S(L21:N21)/AVERAGE(L21:N21)</f>
        <v>0.28180876597870602</v>
      </c>
      <c r="AP21" s="14">
        <f t="shared" si="1"/>
        <v>7500</v>
      </c>
      <c r="AQ21" s="42">
        <f t="shared" si="0"/>
        <v>270000</v>
      </c>
    </row>
    <row r="22" spans="2:43" ht="30" customHeight="1" x14ac:dyDescent="0.35">
      <c r="B22" s="55">
        <v>9</v>
      </c>
      <c r="C22" s="56"/>
      <c r="D22" s="38">
        <v>1</v>
      </c>
      <c r="E22" s="38">
        <v>1</v>
      </c>
      <c r="F22" s="39" t="s">
        <v>22</v>
      </c>
      <c r="G22" s="57" t="s">
        <v>32</v>
      </c>
      <c r="H22" s="58"/>
      <c r="I22" s="58"/>
      <c r="J22" s="59"/>
      <c r="K22" s="40">
        <v>61972</v>
      </c>
      <c r="L22" s="17">
        <v>15000</v>
      </c>
      <c r="M22" s="28">
        <v>4500</v>
      </c>
      <c r="N22" s="18">
        <v>17700</v>
      </c>
      <c r="O22" s="17">
        <v>4637</v>
      </c>
      <c r="P22" s="17">
        <v>27000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4"/>
      <c r="AF22" s="14"/>
      <c r="AG22" s="14"/>
      <c r="AH22" s="14"/>
      <c r="AI22" s="14"/>
      <c r="AJ22" s="14"/>
      <c r="AK22" s="14"/>
      <c r="AL22" s="14">
        <f>MIN(L22:P22)</f>
        <v>4500</v>
      </c>
      <c r="AM22" s="14">
        <f>ROUND(AVERAGE(L22:P22),2)</f>
        <v>13767.4</v>
      </c>
      <c r="AN22" s="14">
        <f>ROUND(MEDIAN(L22:P22),2)</f>
        <v>15000</v>
      </c>
      <c r="AO22" s="41">
        <f>_xlfn.STDEV.S(L22:P22)/AVERAGE(L22:P22)</f>
        <v>0.69035622041497224</v>
      </c>
      <c r="AP22" s="14">
        <f t="shared" si="1"/>
        <v>15000</v>
      </c>
      <c r="AQ22" s="42">
        <f t="shared" si="0"/>
        <v>15000</v>
      </c>
    </row>
    <row r="23" spans="2:43" ht="55.5" customHeight="1" x14ac:dyDescent="0.35">
      <c r="B23" s="55">
        <v>10</v>
      </c>
      <c r="C23" s="56"/>
      <c r="D23" s="38">
        <v>36</v>
      </c>
      <c r="E23" s="38">
        <v>1</v>
      </c>
      <c r="F23" s="39" t="s">
        <v>22</v>
      </c>
      <c r="G23" s="57" t="s">
        <v>33</v>
      </c>
      <c r="H23" s="58"/>
      <c r="I23" s="58"/>
      <c r="J23" s="59"/>
      <c r="K23" s="40">
        <v>42595</v>
      </c>
      <c r="L23" s="22">
        <v>16.8</v>
      </c>
      <c r="M23" s="18">
        <v>149</v>
      </c>
      <c r="N23" s="21">
        <v>2242</v>
      </c>
      <c r="O23" s="17">
        <v>253.8</v>
      </c>
      <c r="P23" s="20">
        <v>869</v>
      </c>
      <c r="Q23" s="17">
        <v>315.69</v>
      </c>
      <c r="R23" s="17">
        <v>107</v>
      </c>
      <c r="S23" s="17">
        <v>125</v>
      </c>
      <c r="T23" s="15"/>
      <c r="U23" s="17">
        <v>116.77</v>
      </c>
      <c r="V23" s="15"/>
      <c r="W23" s="15"/>
      <c r="X23" s="15"/>
      <c r="Y23" s="15"/>
      <c r="Z23" s="15"/>
      <c r="AA23" s="15"/>
      <c r="AB23" s="15"/>
      <c r="AC23" s="15"/>
      <c r="AD23" s="15"/>
      <c r="AE23" s="14"/>
      <c r="AF23" s="14"/>
      <c r="AG23" s="14"/>
      <c r="AH23" s="29"/>
      <c r="AI23" s="14"/>
      <c r="AJ23" s="14"/>
      <c r="AK23" s="14"/>
      <c r="AL23" s="14">
        <f>MIN(M23,O23,Q23,R23,S23,U23)</f>
        <v>107</v>
      </c>
      <c r="AM23" s="14">
        <f>ROUND(AVERAGE(M23,O23,Q23,R23,S23,U23),2)</f>
        <v>177.88</v>
      </c>
      <c r="AN23" s="14">
        <f>ROUND(MEDIAN(M23,O23,Q23,R23,S23,U23),2)</f>
        <v>137</v>
      </c>
      <c r="AO23" s="41">
        <f>_xlfn.STDEV.S(M23,O23,Q23,R23,S23,U23)/AVERAGE(M23,O23,Q23,R23,S23,U23)</f>
        <v>0.48455324547750278</v>
      </c>
      <c r="AP23" s="14">
        <f t="shared" si="1"/>
        <v>137</v>
      </c>
      <c r="AQ23" s="42">
        <f t="shared" si="0"/>
        <v>4932</v>
      </c>
    </row>
    <row r="24" spans="2:43" ht="60.75" customHeight="1" x14ac:dyDescent="0.35">
      <c r="B24" s="55">
        <v>11</v>
      </c>
      <c r="C24" s="56"/>
      <c r="D24" s="38">
        <v>36</v>
      </c>
      <c r="E24" s="38">
        <v>1000</v>
      </c>
      <c r="F24" s="39" t="s">
        <v>27</v>
      </c>
      <c r="G24" s="57" t="s">
        <v>34</v>
      </c>
      <c r="H24" s="58"/>
      <c r="I24" s="58"/>
      <c r="J24" s="59"/>
      <c r="K24" s="40">
        <v>42595</v>
      </c>
      <c r="L24" s="17">
        <f>0.03</f>
        <v>0.03</v>
      </c>
      <c r="M24" s="17">
        <f>0.08</f>
        <v>0.08</v>
      </c>
      <c r="N24" s="21">
        <f>1.3</f>
        <v>1.3</v>
      </c>
      <c r="O24" s="17">
        <f>0.07</f>
        <v>7.0000000000000007E-2</v>
      </c>
      <c r="P24" s="20">
        <f>0.79</f>
        <v>0.79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9">
        <f>0.072</f>
        <v>7.1999999999999995E-2</v>
      </c>
      <c r="AF24" s="14"/>
      <c r="AG24" s="19">
        <f>0.07</f>
        <v>7.0000000000000007E-2</v>
      </c>
      <c r="AH24" s="14"/>
      <c r="AI24" s="14"/>
      <c r="AJ24" s="19">
        <f>0.03</f>
        <v>0.03</v>
      </c>
      <c r="AK24" s="14"/>
      <c r="AL24" s="14">
        <f>MIN(L24:M24,O24,AE24,AG24,AJ24)</f>
        <v>0.03</v>
      </c>
      <c r="AM24" s="14">
        <f>ROUND(AVERAGE(L24:M24,O24,AE24,AG24,AJ24),2)</f>
        <v>0.06</v>
      </c>
      <c r="AN24" s="14">
        <f>ROUND(MEDIAN(L24:M24,O24,AE24,AG24,AJ24),2)</f>
        <v>7.0000000000000007E-2</v>
      </c>
      <c r="AO24" s="41">
        <f>_xlfn.STDEV.S(L24:M24,O24,AE24,AG24,AJ24)/AVERAGE(L24:M24,O24,AE24,AG24,AJ24)</f>
        <v>0.38368052309395795</v>
      </c>
      <c r="AP24" s="14">
        <f t="shared" si="1"/>
        <v>7.0000000000000007E-2</v>
      </c>
      <c r="AQ24" s="42">
        <f t="shared" si="0"/>
        <v>2520.0000000000005</v>
      </c>
    </row>
    <row r="25" spans="2:43" ht="67.5" customHeight="1" x14ac:dyDescent="0.35">
      <c r="B25" s="55">
        <v>12</v>
      </c>
      <c r="C25" s="56"/>
      <c r="D25" s="38">
        <v>36</v>
      </c>
      <c r="E25" s="38">
        <v>4000</v>
      </c>
      <c r="F25" s="39" t="s">
        <v>27</v>
      </c>
      <c r="G25" s="57" t="s">
        <v>35</v>
      </c>
      <c r="H25" s="58"/>
      <c r="I25" s="58"/>
      <c r="J25" s="59"/>
      <c r="K25" s="40">
        <v>42595</v>
      </c>
      <c r="L25" s="17">
        <f>0.07</f>
        <v>7.0000000000000007E-2</v>
      </c>
      <c r="M25" s="18">
        <f>0.12</f>
        <v>0.12</v>
      </c>
      <c r="N25" s="21">
        <f>2.12</f>
        <v>2.12</v>
      </c>
      <c r="O25" s="17">
        <f>0.19</f>
        <v>0.19</v>
      </c>
      <c r="P25" s="20">
        <f>1.83</f>
        <v>1.83</v>
      </c>
      <c r="Q25" s="15"/>
      <c r="R25" s="15"/>
      <c r="S25" s="15"/>
      <c r="T25" s="15"/>
      <c r="U25" s="17">
        <f>0.1</f>
        <v>0.1</v>
      </c>
      <c r="V25" s="17">
        <f>0.2</f>
        <v>0.2</v>
      </c>
      <c r="W25" s="15"/>
      <c r="X25" s="15"/>
      <c r="Y25" s="15"/>
      <c r="Z25" s="15"/>
      <c r="AA25" s="15"/>
      <c r="AB25" s="15"/>
      <c r="AC25" s="15"/>
      <c r="AD25" s="15"/>
      <c r="AE25" s="14"/>
      <c r="AF25" s="14"/>
      <c r="AG25" s="19">
        <f>0.18</f>
        <v>0.18</v>
      </c>
      <c r="AH25" s="14"/>
      <c r="AI25" s="14"/>
      <c r="AJ25" s="14"/>
      <c r="AK25" s="14"/>
      <c r="AL25" s="14">
        <f>MIN(L25:M25,O25,U25:V25,AG25)</f>
        <v>7.0000000000000007E-2</v>
      </c>
      <c r="AM25" s="14">
        <f>ROUND(AVERAGE(L25:M25,O25,U25:V25,AG25),2)</f>
        <v>0.14000000000000001</v>
      </c>
      <c r="AN25" s="14">
        <f>ROUND(MEDIAN(L25:M25,O25,U25:V25,AG25),2)</f>
        <v>0.15</v>
      </c>
      <c r="AO25" s="41">
        <f>_xlfn.STDEV.S(L25:M25,O25,U25:V25,AG25)/AVERAGE(L25:M25,O25,U25:V25,AG25)</f>
        <v>0.37614077430987497</v>
      </c>
      <c r="AP25" s="14">
        <f t="shared" si="1"/>
        <v>0.15</v>
      </c>
      <c r="AQ25" s="42">
        <f t="shared" si="0"/>
        <v>21599.999999999996</v>
      </c>
    </row>
    <row r="26" spans="2:43" ht="71.25" customHeight="1" x14ac:dyDescent="0.35">
      <c r="B26" s="55">
        <v>13</v>
      </c>
      <c r="C26" s="56"/>
      <c r="D26" s="38">
        <v>36</v>
      </c>
      <c r="E26" s="38">
        <v>2000</v>
      </c>
      <c r="F26" s="39" t="s">
        <v>27</v>
      </c>
      <c r="G26" s="57" t="s">
        <v>36</v>
      </c>
      <c r="H26" s="58"/>
      <c r="I26" s="58"/>
      <c r="J26" s="59"/>
      <c r="K26" s="40">
        <v>42595</v>
      </c>
      <c r="L26" s="17">
        <f>0.03</f>
        <v>0.03</v>
      </c>
      <c r="M26" s="18">
        <f>0.1</f>
        <v>0.1</v>
      </c>
      <c r="N26" s="21">
        <f>1.77</f>
        <v>1.77</v>
      </c>
      <c r="O26" s="17">
        <f>0.1</f>
        <v>0.1</v>
      </c>
      <c r="P26" s="20">
        <f>0.85</f>
        <v>0.85</v>
      </c>
      <c r="Q26" s="15"/>
      <c r="R26" s="15"/>
      <c r="S26" s="15"/>
      <c r="T26" s="15"/>
      <c r="U26" s="17">
        <f>0.0645</f>
        <v>6.4500000000000002E-2</v>
      </c>
      <c r="V26" s="15"/>
      <c r="W26" s="15"/>
      <c r="X26" s="15"/>
      <c r="Y26" s="15"/>
      <c r="Z26" s="15"/>
      <c r="AA26" s="15"/>
      <c r="AB26" s="15"/>
      <c r="AC26" s="15"/>
      <c r="AD26" s="15"/>
      <c r="AE26" s="14"/>
      <c r="AF26" s="14"/>
      <c r="AG26" s="14"/>
      <c r="AH26" s="14"/>
      <c r="AI26" s="14"/>
      <c r="AJ26" s="14"/>
      <c r="AK26" s="14"/>
      <c r="AL26" s="14">
        <f>MIN(L26:M26,O26,U26)</f>
        <v>0.03</v>
      </c>
      <c r="AM26" s="14">
        <f>ROUND(AVERAGE(L26:M26,O26,U26),2)</f>
        <v>7.0000000000000007E-2</v>
      </c>
      <c r="AN26" s="14">
        <f>ROUND(MEDIAN(L26:M26,O26,U26),2)</f>
        <v>0.08</v>
      </c>
      <c r="AO26" s="41">
        <f>_xlfn.STDEV.S(L26:M26,O26,U26)/AVERAGE(L26:M26,O26,U26)</f>
        <v>0.45574697860681224</v>
      </c>
      <c r="AP26" s="14">
        <f t="shared" si="1"/>
        <v>0.08</v>
      </c>
      <c r="AQ26" s="42">
        <f t="shared" si="0"/>
        <v>5760</v>
      </c>
    </row>
    <row r="27" spans="2:43" ht="68.25" customHeight="1" x14ac:dyDescent="0.35">
      <c r="B27" s="55">
        <v>14</v>
      </c>
      <c r="C27" s="56"/>
      <c r="D27" s="38">
        <v>36</v>
      </c>
      <c r="E27" s="38">
        <v>5100</v>
      </c>
      <c r="F27" s="39" t="s">
        <v>27</v>
      </c>
      <c r="G27" s="57" t="s">
        <v>37</v>
      </c>
      <c r="H27" s="58"/>
      <c r="I27" s="58"/>
      <c r="J27" s="59"/>
      <c r="K27" s="40">
        <v>42595</v>
      </c>
      <c r="L27" s="28">
        <f>0.07</f>
        <v>7.0000000000000007E-2</v>
      </c>
      <c r="M27" s="18">
        <f>0.19</f>
        <v>0.19</v>
      </c>
      <c r="N27" s="21">
        <f>2.24</f>
        <v>2.2400000000000002</v>
      </c>
      <c r="O27" s="28">
        <f>0.19</f>
        <v>0.19</v>
      </c>
      <c r="P27" s="27">
        <f>3.16</f>
        <v>3.16</v>
      </c>
      <c r="Q27" s="16"/>
      <c r="R27" s="16"/>
      <c r="S27" s="16"/>
      <c r="T27" s="16"/>
      <c r="U27" s="28">
        <f>0.1</f>
        <v>0.1</v>
      </c>
      <c r="V27" s="16"/>
      <c r="W27" s="28">
        <f>0.185</f>
        <v>0.185</v>
      </c>
      <c r="X27" s="16"/>
      <c r="Y27" s="16"/>
      <c r="Z27" s="16"/>
      <c r="AA27" s="16"/>
      <c r="AB27" s="16"/>
      <c r="AC27" s="16"/>
      <c r="AD27" s="16"/>
      <c r="AE27" s="26"/>
      <c r="AF27" s="26"/>
      <c r="AG27" s="26"/>
      <c r="AH27" s="26"/>
      <c r="AI27" s="26"/>
      <c r="AJ27" s="26"/>
      <c r="AK27" s="43">
        <f>0.2</f>
        <v>0.2</v>
      </c>
      <c r="AL27" s="14">
        <f>MIN(L27:M27,O27,U27,W27,AK27)</f>
        <v>7.0000000000000007E-2</v>
      </c>
      <c r="AM27" s="14">
        <f>ROUND(AVERAGE(L27:M27,O27,U27,W27,AK27),2)</f>
        <v>0.16</v>
      </c>
      <c r="AN27" s="14">
        <f>ROUND(MEDIAN(L27:M27,O27,U27,W27,AK27),2)</f>
        <v>0.19</v>
      </c>
      <c r="AO27" s="41">
        <f>_xlfn.STDEV.S(L27:M27,O27,U27,W27,AK27)/AVERAGE(L27:M27,O27,U27,W27,AK27)</f>
        <v>0.35867964950117315</v>
      </c>
      <c r="AP27" s="14">
        <f t="shared" si="1"/>
        <v>0.19</v>
      </c>
      <c r="AQ27" s="42">
        <f t="shared" si="0"/>
        <v>34884</v>
      </c>
    </row>
    <row r="28" spans="2:43" ht="16.5" customHeight="1" x14ac:dyDescent="0.35">
      <c r="B28" s="7"/>
      <c r="C28" s="60" t="s">
        <v>22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1"/>
      <c r="AQ28" s="8">
        <f>SUM(AQ14:AQ27)</f>
        <v>10533526.199999999</v>
      </c>
    </row>
    <row r="29" spans="2:43" ht="16.5" customHeight="1" x14ac:dyDescent="0.35">
      <c r="B29" s="32"/>
      <c r="C29" s="37" t="s">
        <v>38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4"/>
    </row>
    <row r="30" spans="2:43" x14ac:dyDescent="0.35">
      <c r="B30" s="30"/>
      <c r="C30" s="31" t="s">
        <v>57</v>
      </c>
      <c r="D30" s="31"/>
      <c r="E30" s="31"/>
      <c r="F30" s="31"/>
      <c r="G30" s="3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</row>
    <row r="31" spans="2:43" ht="15" customHeight="1" x14ac:dyDescent="0.35">
      <c r="B31" s="36"/>
      <c r="C31" s="44" t="s">
        <v>61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7" spans="34:34" x14ac:dyDescent="0.35">
      <c r="AH37" s="25"/>
    </row>
  </sheetData>
  <mergeCells count="52">
    <mergeCell ref="B27:C27"/>
    <mergeCell ref="B22:C22"/>
    <mergeCell ref="B23:C23"/>
    <mergeCell ref="B24:C24"/>
    <mergeCell ref="B25:C25"/>
    <mergeCell ref="B26:C26"/>
    <mergeCell ref="G26:J26"/>
    <mergeCell ref="G16:J16"/>
    <mergeCell ref="G17:J17"/>
    <mergeCell ref="G18:J18"/>
    <mergeCell ref="G19:J19"/>
    <mergeCell ref="G20:J20"/>
    <mergeCell ref="G24:J24"/>
    <mergeCell ref="B18:C18"/>
    <mergeCell ref="B19:C19"/>
    <mergeCell ref="B20:C20"/>
    <mergeCell ref="B21:C21"/>
    <mergeCell ref="G25:J25"/>
    <mergeCell ref="B6:AQ6"/>
    <mergeCell ref="B8:AQ8"/>
    <mergeCell ref="B7:I7"/>
    <mergeCell ref="J7:AQ7"/>
    <mergeCell ref="L11:P11"/>
    <mergeCell ref="B11:C13"/>
    <mergeCell ref="AL12:AN12"/>
    <mergeCell ref="K11:K13"/>
    <mergeCell ref="G11:J13"/>
    <mergeCell ref="AL11:AO11"/>
    <mergeCell ref="D11:D13"/>
    <mergeCell ref="F11:F13"/>
    <mergeCell ref="Q11:AK11"/>
    <mergeCell ref="B1:AQ1"/>
    <mergeCell ref="B2:AQ2"/>
    <mergeCell ref="B4:AQ4"/>
    <mergeCell ref="B5:AQ5"/>
    <mergeCell ref="B3:AQ3"/>
    <mergeCell ref="C31:AQ31"/>
    <mergeCell ref="B10:AQ10"/>
    <mergeCell ref="AP11:AQ12"/>
    <mergeCell ref="B9:AQ9"/>
    <mergeCell ref="AO12:AO13"/>
    <mergeCell ref="B16:C16"/>
    <mergeCell ref="G27:J27"/>
    <mergeCell ref="B15:C15"/>
    <mergeCell ref="G15:J15"/>
    <mergeCell ref="G21:J21"/>
    <mergeCell ref="C28:AP28"/>
    <mergeCell ref="G14:J14"/>
    <mergeCell ref="B14:C14"/>
    <mergeCell ref="G22:J22"/>
    <mergeCell ref="G23:J23"/>
    <mergeCell ref="B17:C17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21" ma:contentTypeDescription="Crie um novo documento." ma:contentTypeScope="" ma:versionID="714dd3d5d5bb3634b74ef3da0d24d965">
  <xsd:schema xmlns:xsd="http://www.w3.org/2001/XMLSchema" xmlns:xs="http://www.w3.org/2001/XMLSchema" xmlns:p="http://schemas.microsoft.com/office/2006/metadata/properties" xmlns:ns1="http://schemas.microsoft.com/sharepoint/v3" xmlns:ns2="1eb315a1-fd1d-4c46-bc29-5324cfd31550" xmlns:ns3="040f40de-0951-4de2-aa99-b1ea904a966c" targetNamespace="http://schemas.microsoft.com/office/2006/metadata/properties" ma:root="true" ma:fieldsID="e449ced90c3f37ea7d9efc54e82c31f2" ns1:_="" ns2:_="" ns3:_="">
    <xsd:import namespace="http://schemas.microsoft.com/sharepoint/v3"/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ilvi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ilvia" ma:index="24" nillable="true" ma:displayName="silvia" ma:format="Dropdown" ma:list="UserInfo" ma:SharePointGroup="0" ma:internalName="silvi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41b97-112f-42a4-9487-746d41916657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  <SharedWithUsers xmlns="040f40de-0951-4de2-aa99-b1ea904a966c">
      <UserInfo>
        <DisplayName>Darlan Paiva de Oliveira</DisplayName>
        <AccountId>104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silvia xmlns="1eb315a1-fd1d-4c46-bc29-5324cfd31550">
      <UserInfo>
        <DisplayName/>
        <AccountId xsi:nil="true"/>
        <AccountType/>
      </UserInfo>
    </silvia>
  </documentManagement>
</p:properties>
</file>

<file path=customXml/itemProps1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8D6AF-C448-4105-AE6A-195C176E8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CBAFDF-1564-4C74-90E1-FD7F2B807210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1eb315a1-fd1d-4c46-bc29-5324cfd31550"/>
    <ds:schemaRef ds:uri="040f40de-0951-4de2-aa99-b1ea904a966c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 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DA SILVA LIMA</dc:creator>
  <cp:keywords/>
  <dc:description/>
  <cp:lastModifiedBy>Pedro Brito Candido Ferreira</cp:lastModifiedBy>
  <cp:revision/>
  <dcterms:created xsi:type="dcterms:W3CDTF">2018-05-03T15:00:37Z</dcterms:created>
  <dcterms:modified xsi:type="dcterms:W3CDTF">2025-01-31T19:43:49Z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