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a\OneDrive\Área de Trabalho\pregão\Nova pasta\"/>
    </mc:Choice>
  </mc:AlternateContent>
  <xr:revisionPtr revIDLastSave="0" documentId="13_ncr:1_{8FEAD4E7-4A52-4412-9DD2-B615A8FA3864}" xr6:coauthVersionLast="47" xr6:coauthVersionMax="47" xr10:uidLastSave="{00000000-0000-0000-0000-000000000000}"/>
  <bookViews>
    <workbookView xWindow="-28910" yWindow="-3500" windowWidth="29020" windowHeight="15700" xr2:uid="{433E4B07-879B-49BB-9628-26A42C29C69A}"/>
  </bookViews>
  <sheets>
    <sheet name="DETALHAMENTO" sheetId="2" r:id="rId1"/>
    <sheet name="RESUMO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4" i="2" l="1"/>
  <c r="F135" i="2"/>
  <c r="C76" i="2" l="1"/>
  <c r="C75" i="2"/>
  <c r="K35" i="2" l="1"/>
  <c r="K34" i="2"/>
  <c r="K33" i="2"/>
  <c r="K32" i="2"/>
  <c r="K26" i="2"/>
  <c r="K20" i="2"/>
  <c r="K19" i="2"/>
  <c r="K18" i="2"/>
  <c r="I17" i="2"/>
  <c r="K17" i="2" s="1"/>
  <c r="D14" i="2"/>
  <c r="G14" i="2" s="1"/>
  <c r="L35" i="2" l="1"/>
  <c r="L34" i="2"/>
  <c r="L33" i="2"/>
  <c r="L32" i="2"/>
  <c r="L18" i="2"/>
  <c r="L20" i="2"/>
  <c r="L19" i="2"/>
  <c r="L17" i="2"/>
  <c r="L26" i="2"/>
  <c r="C103" i="2"/>
  <c r="F4" i="2"/>
  <c r="F133" i="2"/>
  <c r="F132" i="2"/>
  <c r="F131" i="2"/>
  <c r="C122" i="2"/>
  <c r="C123" i="2" s="1"/>
  <c r="G126" i="2" s="1"/>
  <c r="G36" i="3" s="1"/>
  <c r="G65" i="2"/>
  <c r="G66" i="2" s="1"/>
  <c r="G68" i="2" s="1"/>
  <c r="G30" i="3" s="1"/>
  <c r="G57" i="2"/>
  <c r="F56" i="2"/>
  <c r="G56" i="2" s="1"/>
  <c r="F55" i="2"/>
  <c r="G55" i="2" s="1"/>
  <c r="F54" i="2"/>
  <c r="G54" i="2" s="1"/>
  <c r="F46" i="2"/>
  <c r="G46" i="2" s="1"/>
  <c r="F45" i="2"/>
  <c r="G45" i="2" s="1"/>
  <c r="F44" i="2"/>
  <c r="G44" i="2" s="1"/>
  <c r="F43" i="2"/>
  <c r="G43" i="2" s="1"/>
  <c r="G35" i="2"/>
  <c r="G34" i="2"/>
  <c r="G33" i="2"/>
  <c r="G32" i="2"/>
  <c r="G26" i="2"/>
  <c r="G27" i="2" s="1"/>
  <c r="G20" i="2"/>
  <c r="G19" i="2"/>
  <c r="G18" i="2"/>
  <c r="G17" i="2"/>
  <c r="G58" i="2" l="1"/>
  <c r="G60" i="2" s="1"/>
  <c r="G27" i="3" s="1"/>
  <c r="C102" i="2"/>
  <c r="C88" i="2"/>
  <c r="C91" i="2"/>
  <c r="C104" i="2"/>
  <c r="F148" i="2"/>
  <c r="G21" i="2"/>
  <c r="C87" i="2"/>
  <c r="C90" i="2"/>
  <c r="C92" i="2"/>
  <c r="C93" i="2"/>
  <c r="C96" i="2"/>
  <c r="C82" i="2"/>
  <c r="C83" i="2"/>
  <c r="C84" i="2"/>
  <c r="C97" i="2"/>
  <c r="C99" i="2"/>
  <c r="G137" i="2"/>
  <c r="G39" i="3" s="1"/>
  <c r="G36" i="2"/>
  <c r="G47" i="2"/>
  <c r="G49" i="2" s="1"/>
  <c r="G24" i="3" s="1"/>
  <c r="C89" i="2"/>
  <c r="C98" i="2"/>
  <c r="F146" i="2" l="1"/>
  <c r="F145" i="2"/>
  <c r="C105" i="2"/>
  <c r="F147" i="2"/>
  <c r="F144" i="2"/>
  <c r="G38" i="2"/>
  <c r="G21" i="3" s="1"/>
  <c r="C85" i="2"/>
  <c r="C100" i="2"/>
  <c r="C94" i="2"/>
  <c r="G150" i="2" l="1"/>
  <c r="G44" i="3" s="1"/>
  <c r="C106" i="2"/>
  <c r="C107" i="2" s="1"/>
  <c r="C108" i="2" s="1"/>
  <c r="G111" i="2" s="1"/>
  <c r="F155" i="2" l="1"/>
  <c r="E155" i="2" s="1"/>
  <c r="G33" i="3"/>
  <c r="G40" i="3" s="1"/>
  <c r="G47" i="3" l="1"/>
</calcChain>
</file>

<file path=xl/sharedStrings.xml><?xml version="1.0" encoding="utf-8"?>
<sst xmlns="http://schemas.openxmlformats.org/spreadsheetml/2006/main" count="272" uniqueCount="196">
  <si>
    <t>DADOS DO SERVIÇO</t>
  </si>
  <si>
    <t>ITEM</t>
  </si>
  <si>
    <t>DESCRIÇÃO</t>
  </si>
  <si>
    <t>UND</t>
  </si>
  <si>
    <t>QTDE. TRIMESTRAL</t>
  </si>
  <si>
    <t>VALOR TRIMESTRAL</t>
  </si>
  <si>
    <t>VALOR TOTAL ANUAL</t>
  </si>
  <si>
    <t>Prestação de serviços de dedetização, os quais englobam a desinsetização, a desratização, aMinistério Público do Estado de Minas Gerais em todo o seu território, conforme especificações, exigências e quantidades estabelecidas no Termo de Referência.</t>
  </si>
  <si>
    <t>m²</t>
  </si>
  <si>
    <t>a desinsetização, a desratização, a descorpinização, a descupinização nos imóveis</t>
  </si>
  <si>
    <t xml:space="preserve">ocupados pelas unidades do Ministério Público do Estado de Minas Gerais em todo </t>
  </si>
  <si>
    <t>Valor do m²</t>
  </si>
  <si>
    <t xml:space="preserve">o seu território, conforme especificações, exigências e quantidades estabelecidas no </t>
  </si>
  <si>
    <t>do termo de referencia - Total de Aplicações: 04 ao ano.</t>
  </si>
  <si>
    <t>CUSTOS DIRETOS</t>
  </si>
  <si>
    <t>I - DOS INSUMOS DOMISSANITÁRIOS</t>
  </si>
  <si>
    <t>DESINSETIZAÇÃO</t>
  </si>
  <si>
    <t>TOTAL DE M² - TRIMESTRAL</t>
  </si>
  <si>
    <t>TOTAL DE M² - ANUAL ( 4 APL)</t>
  </si>
  <si>
    <t>SERVIÇO</t>
  </si>
  <si>
    <t>CONCENT/USO</t>
  </si>
  <si>
    <t>UNID</t>
  </si>
  <si>
    <t>QTDE.</t>
  </si>
  <si>
    <t>VALOR UNIT</t>
  </si>
  <si>
    <t>VALOR TOTAL</t>
  </si>
  <si>
    <t>Desinsetização</t>
  </si>
  <si>
    <t>Gel Bactericida - Fipronol 30 g</t>
  </si>
  <si>
    <t>0,05g/m2</t>
  </si>
  <si>
    <t>30g/unid</t>
  </si>
  <si>
    <t>Gel Formicida - Formifim 30 g</t>
  </si>
  <si>
    <t>Bifentol PS - baratas - Polvilhamento</t>
  </si>
  <si>
    <t>5g/m²</t>
  </si>
  <si>
    <t>1kg/unid</t>
  </si>
  <si>
    <t>Alfanol 50 SC - baratas - Pulverização</t>
  </si>
  <si>
    <t>50 ml /m²</t>
  </si>
  <si>
    <t>Frasco/1L</t>
  </si>
  <si>
    <t>TOTAL</t>
  </si>
  <si>
    <t>DESCUPINIZAÇÃO</t>
  </si>
  <si>
    <t>Descupinização</t>
  </si>
  <si>
    <t>Bifentol 200 SC</t>
  </si>
  <si>
    <t>45 ml /m²</t>
  </si>
  <si>
    <t>DESRATIZAÇÃO</t>
  </si>
  <si>
    <t>Desratização</t>
  </si>
  <si>
    <t>Ratol  GS - 50</t>
  </si>
  <si>
    <t>01 sache 20g/ 5 a 5m</t>
  </si>
  <si>
    <t>sache/20g</t>
  </si>
  <si>
    <t>Ratol - Bloco Parafinado</t>
  </si>
  <si>
    <t>01 bloco de 20g/local</t>
  </si>
  <si>
    <t>bloco/20g</t>
  </si>
  <si>
    <t>unidade/local</t>
  </si>
  <si>
    <t>unid/local</t>
  </si>
  <si>
    <t>VALOR TOTAL - PRODUTOS DOMISSANITÁRIOS</t>
  </si>
  <si>
    <t>II - DOS EQUIPAMENTOS PARA APLICAÇÃO DOS INSUMOS DOMISSANITÁRIOS</t>
  </si>
  <si>
    <t>TIPO</t>
  </si>
  <si>
    <t>Polivilhadeira - 1kg - Guarany</t>
  </si>
  <si>
    <t>Depreciação /36m</t>
  </si>
  <si>
    <t>dia/trab</t>
  </si>
  <si>
    <t>Pulverizador  Costal - Guarany - 1O l</t>
  </si>
  <si>
    <t>Atomizador Costal Motoriz - 18 L</t>
  </si>
  <si>
    <t>Termonebulizador K 10 - Plusfog</t>
  </si>
  <si>
    <t>VALOR TOTAL - EQUIPAMENTOS  PARA APLICAÇÃO DOS PRODUTOS DOMISSANITÁRIOS</t>
  </si>
  <si>
    <t>III - DOS EQUIPAMENTOS PROTEÇÃO INDIVIDUAL</t>
  </si>
  <si>
    <t>Luva Nitrilica - CA 40570/36648 - MARCA: VOLK</t>
  </si>
  <si>
    <t>Depreciação /24m</t>
  </si>
  <si>
    <t>Óculos de Proteção Ampla Visão Perfurado CARBOGRAFITE</t>
  </si>
  <si>
    <t>Depreciação /12m</t>
  </si>
  <si>
    <t>Respirador 3m 6200 Com Cartuchos - CA 4115</t>
  </si>
  <si>
    <t>Depreciação /60m</t>
  </si>
  <si>
    <t>Macacão de Segurança TYVEK - marca Volk</t>
  </si>
  <si>
    <t>variável</t>
  </si>
  <si>
    <t>VALOR TOTAL - EQUIPAMENTOS  DE PROTEÇÃO INDIVIDUAL</t>
  </si>
  <si>
    <t>IV - UNIFORMES</t>
  </si>
  <si>
    <t>Uniformes</t>
  </si>
  <si>
    <t>Depreciação /6m</t>
  </si>
  <si>
    <t>VALOR TOTAL - UNIFORMES</t>
  </si>
  <si>
    <t>V - MÃO DE OBRA</t>
  </si>
  <si>
    <t>CONTROLADOR DE PRAGAS</t>
  </si>
  <si>
    <t>REMUNERAÇÃO  E INFORMAÇÕES DA PRESTAÇÃO DE SERVIÇO</t>
  </si>
  <si>
    <t>Salário Base da Categoria</t>
  </si>
  <si>
    <t>Adicional de Insalubridade - 20%</t>
  </si>
  <si>
    <t>Jornada de trabalho Semanal</t>
  </si>
  <si>
    <t>44h</t>
  </si>
  <si>
    <t>Jornada de trabalho diária</t>
  </si>
  <si>
    <t>8h</t>
  </si>
  <si>
    <t>Jornada de trabalho Mensal</t>
  </si>
  <si>
    <t>220h</t>
  </si>
  <si>
    <t>Qantidade de funcioários necessário</t>
  </si>
  <si>
    <t>ENCARGOS SOCIAIS TRABAHISTAS - PRIMÁRIOS</t>
  </si>
  <si>
    <t xml:space="preserve"> Previdencia Social Patronal - 20,00%</t>
  </si>
  <si>
    <t>FGTS - 8,00%</t>
  </si>
  <si>
    <r>
      <rPr>
        <sz val="8.5"/>
        <color rgb="FF111111"/>
        <rFont val="Calibri"/>
        <family val="2"/>
      </rPr>
      <t xml:space="preserve">  </t>
    </r>
    <r>
      <rPr>
        <sz val="8.5"/>
        <rFont val="Calibri"/>
        <family val="2"/>
      </rPr>
      <t>Seguro Acidente do trabalho/SAT/INSS - 3,00%</t>
    </r>
  </si>
  <si>
    <t>Percentual total de Encargos Sociais Primários - 31,00%</t>
  </si>
  <si>
    <t>ENCARGOS SOCIAIS TRABAHISTAS - SECUNDÁRIOS -1</t>
  </si>
  <si>
    <t>13ᵉ Salário - 8,33%</t>
  </si>
  <si>
    <t>Férias (1/12) - 8,33%</t>
  </si>
  <si>
    <t>Abono de férias/Terço  constitutional (1/3) - 2,73%</t>
  </si>
  <si>
    <t xml:space="preserve"> Auxílio Doença/Enfermidade - 1,66%</t>
  </si>
  <si>
    <t xml:space="preserve"> Licença paternidade/maternidade - 0,10%</t>
  </si>
  <si>
    <t xml:space="preserve"> Ausências/Faltas legais - 0,28%</t>
  </si>
  <si>
    <r>
      <t xml:space="preserve">Acidente </t>
    </r>
    <r>
      <rPr>
        <sz val="8.5"/>
        <color rgb="FF0F0F0F"/>
        <rFont val="Calibri"/>
        <family val="2"/>
      </rPr>
      <t xml:space="preserve">de </t>
    </r>
    <r>
      <rPr>
        <sz val="8.5"/>
        <rFont val="Calibri"/>
        <family val="2"/>
      </rPr>
      <t>trabalho - 0,03%</t>
    </r>
  </si>
  <si>
    <t>Percentual total de Encargos Sociais Secundáris 1 - 21,51%</t>
  </si>
  <si>
    <t>ENCARGOS SOCIAIS TRABAHISTAS - SECUNDÁRIOS -2</t>
  </si>
  <si>
    <t xml:space="preserve"> Aviso Prévio Indenizado/Trabalhado - 0,69%</t>
  </si>
  <si>
    <t xml:space="preserve"> lndenização Adicional - 0,08%</t>
  </si>
  <si>
    <t>lndenização FGTS 4D% (Rescisão sem justa causa) 3,20%</t>
  </si>
  <si>
    <t>Indenização FGTS 1D% (Rescisão sem justa causa) 0,80%</t>
  </si>
  <si>
    <t>Percentual total de Encargos Sociais Secundáris 2 - 4,77%</t>
  </si>
  <si>
    <t>ENCARGOS SOCIAIS TRABAHISTAS - SECUNDÁRIOS -3</t>
  </si>
  <si>
    <r>
      <t>lncidência  dos Encargos  1</t>
    </r>
    <r>
      <rPr>
        <sz val="8.5"/>
        <color rgb="FF161616"/>
        <rFont val="Calibri"/>
        <family val="2"/>
      </rPr>
      <t xml:space="preserve"> </t>
    </r>
    <r>
      <rPr>
        <sz val="8.5"/>
        <rFont val="Calibri"/>
        <family val="2"/>
      </rPr>
      <t>sobre Encargos  2 - 7,91%</t>
    </r>
  </si>
  <si>
    <r>
      <rPr>
        <sz val="8.5"/>
        <rFont val="Calibri"/>
        <family val="2"/>
      </rPr>
      <t>lncidência  do FGTS exclusivamente sabre</t>
    </r>
    <r>
      <rPr>
        <sz val="8.5"/>
        <color rgb="FF0E0E0E"/>
        <rFont val="Calibri"/>
        <family val="2"/>
      </rPr>
      <t xml:space="preserve">a    </t>
    </r>
    <r>
      <rPr>
        <sz val="8.5"/>
        <rFont val="Calibri"/>
        <family val="2"/>
      </rPr>
      <t>aviso prévio indenizado</t>
    </r>
  </si>
  <si>
    <r>
      <rPr>
        <sz val="8.5"/>
        <rFont val="Calibri"/>
        <family val="2"/>
      </rPr>
      <t xml:space="preserve"> lncid FGTS s/ afast superior a </t>
    </r>
    <r>
      <rPr>
        <sz val="8.5"/>
        <color rgb="FF0E0E0E"/>
        <rFont val="Calibri"/>
        <family val="2"/>
      </rPr>
      <t xml:space="preserve">30 </t>
    </r>
    <r>
      <rPr>
        <sz val="8.5"/>
        <rFont val="Calibri"/>
        <family val="2"/>
      </rPr>
      <t xml:space="preserve">dias </t>
    </r>
    <r>
      <rPr>
        <sz val="8.5"/>
        <color rgb="FF181818"/>
        <rFont val="Calibri"/>
        <family val="2"/>
      </rPr>
      <t xml:space="preserve">p/ </t>
    </r>
    <r>
      <rPr>
        <sz val="8.5"/>
        <rFont val="Calibri"/>
        <family val="2"/>
      </rPr>
      <t>acidente de trab/auxil doença.</t>
    </r>
  </si>
  <si>
    <t>Percentual total de Encargos Sociais Secundáris 3 - 7,93%</t>
  </si>
  <si>
    <t>VALOR TOTAL - ENCRGOS TRABALHSITAS ( 1+2+3)</t>
  </si>
  <si>
    <t>VALOR TOTAL- REMUNERAÇÃO + ENCARGOS TRABALHISTAS</t>
  </si>
  <si>
    <t>VALOR DA HORA TRABALHADA</t>
  </si>
  <si>
    <t>QUANTIDADE DE HORAS -  EXECUÇÃO SERVIÇO</t>
  </si>
  <si>
    <t>VALOR TOTAL DA MÃO DE OBRA - CONTROLADOR</t>
  </si>
  <si>
    <t>RESPONSÁVEL TÉCNICO</t>
  </si>
  <si>
    <t>VALOR TOTAL- REMUNERAÇÃO</t>
  </si>
  <si>
    <t>VALOR TOTAL DA MÃO DE OBRA - RESPONSÁVEL TÉCNICO</t>
  </si>
  <si>
    <t>VI - DESLOCAMENTO E HOSPEDAGEM</t>
  </si>
  <si>
    <t>CUSTO UNITÁRIO</t>
  </si>
  <si>
    <t>CUSTO T OTAL</t>
  </si>
  <si>
    <t>Combutível por KM rodado  (valor  do litro Etanol/consumo veiculo)</t>
  </si>
  <si>
    <t>Pedágios</t>
  </si>
  <si>
    <t>Gasto de desgaste por KM rodado ( manutenção, pneus)</t>
  </si>
  <si>
    <t>VALOR TOTAL DE GASTOS + REAPLICAÇÃO</t>
  </si>
  <si>
    <t>CUSTOS INDIRETOS, TRIBUTOS E LUCRO</t>
  </si>
  <si>
    <t>VII - TRIBUTOS</t>
  </si>
  <si>
    <t>ALIQUOTA</t>
  </si>
  <si>
    <t>VALOR DO IMPOSTO</t>
  </si>
  <si>
    <t>COFINS (OPTANTE PELO SIMPLES NACIONAL ANEXO IV)</t>
  </si>
  <si>
    <t>PIS/PASEP (OPTANTE PELO SIMPLES NACIONAL  ANEXO IV)</t>
  </si>
  <si>
    <t>IRPJ (OPTANTE PELO SIMPLES NACIONAL  ANEXO IV)</t>
  </si>
  <si>
    <t>CSLL (OPTANTE PELO SIMPLES NACIONAL ANEXO IV)</t>
  </si>
  <si>
    <t>ISS (OPTANTE PELO SIMPLES NACIONAL ANEXO IV)</t>
  </si>
  <si>
    <t>VALOR TOTAL - IMPOSTOS        (ALIQUOTA TOTAL:  15,289108 %)</t>
  </si>
  <si>
    <t>VIII - LUCRO  ANUAL/TOTAL ( REF. 04 APLICAÇÕES)</t>
  </si>
  <si>
    <t xml:space="preserve">ALIQUOTA </t>
  </si>
  <si>
    <t>VALOR DO LUCRO</t>
  </si>
  <si>
    <t>LUCRO (VALOR TOTAL SERVIÇO - CUSTOS DIRETOS - CUSTOS INDIRETOS)</t>
  </si>
  <si>
    <t>PLANILHA DE FORMAÇÃO DE CUSTOS</t>
  </si>
  <si>
    <r>
      <rPr>
        <b/>
        <sz val="8"/>
        <color theme="1"/>
        <rFont val="Calibri"/>
        <family val="2"/>
      </rPr>
      <t xml:space="preserve">PREGÃO ELETRÔNICO Nº </t>
    </r>
    <r>
      <rPr>
        <sz val="8"/>
        <color theme="1"/>
        <rFont val="Calibri"/>
        <family val="2"/>
      </rPr>
      <t>302/2024</t>
    </r>
  </si>
  <si>
    <t>OBJETO: Prestação de serviços de dedetização, os quais englobam a desinsetização, a desratização, a  desinsetização, a desratização, a descorpinização, a descupinização nos imóveisMinistério Público do Estado de Minas Gerais em todo o seu território, conforme especificações, exigências e quantidades estabelecidas no Termo de Referência.</t>
  </si>
  <si>
    <t>DADOS DA EMPRESA</t>
  </si>
  <si>
    <t>RAZÃO SOCIAL</t>
  </si>
  <si>
    <t>CNPJ</t>
  </si>
  <si>
    <t>INCRIÇÃO ESTADUAL</t>
  </si>
  <si>
    <t>INSCRIÇÃO MUNICIPAL</t>
  </si>
  <si>
    <t>ENDEREÇO</t>
  </si>
  <si>
    <t>TELEFONE</t>
  </si>
  <si>
    <t>ENDEREÇO ELETRÔNICO</t>
  </si>
  <si>
    <t>GRUPO 1 - CUSTOS COM INSUMOS DOMISSANITÁRIOS</t>
  </si>
  <si>
    <t>Insumos para Desinsetização</t>
  </si>
  <si>
    <t xml:space="preserve">Insumos para Desratização </t>
  </si>
  <si>
    <t>Insumos para Descupinização</t>
  </si>
  <si>
    <t>SUB-TOTAL 1</t>
  </si>
  <si>
    <t xml:space="preserve"> GURPO 2 -  EQUIPAMENTOS PARA APLICAÇÃO DOS INSUMOS DOMISSANITÁRIOS</t>
  </si>
  <si>
    <t>Polivilhadeira,Pulverizador  Costal - 1O l, Atomizador Costa  - 18 L, Termonebulizador</t>
  </si>
  <si>
    <t>SUB-TOTAL 2</t>
  </si>
  <si>
    <t xml:space="preserve"> GURPO 3 -  EQUIPAMENTOS DE PROTEÇÃO INDIVIDUAL - EPI'S</t>
  </si>
  <si>
    <t xml:space="preserve">Luva Nitrilica , Óculos de Proteção,Respirador 3m 6200 Com Cartuchos,Macacão de Segurança </t>
  </si>
  <si>
    <t>SUB-TOTAL 3</t>
  </si>
  <si>
    <t xml:space="preserve"> GURPO 4 -  UNIFORMES</t>
  </si>
  <si>
    <t>Uniformes ( blusas, calças, jaquetas)</t>
  </si>
  <si>
    <t>SUB-TOTAL 4</t>
  </si>
  <si>
    <t xml:space="preserve"> GURPO 5 -  MÃO DE OBRA - CONTROLADOR DE PRAGAS</t>
  </si>
  <si>
    <t>Salários, Adicionais, Encargos Trabalhistas</t>
  </si>
  <si>
    <t>SUB-TOTAL 5</t>
  </si>
  <si>
    <t xml:space="preserve"> GURPO 6 -  MÃO DE OBRA - RESPONSÁVEL TÉCNICO</t>
  </si>
  <si>
    <t>Salários, Adicionais</t>
  </si>
  <si>
    <t>SUB-TOTAL 6</t>
  </si>
  <si>
    <t xml:space="preserve"> GURPO 7 -  DESLOCAMENTO/HOSPEDAGEM/ALIMENTAÇÃO</t>
  </si>
  <si>
    <t>Combutível por KM rodado , Pedágio, Desgastem Hospedagem, Refeiçãom Taxa de Reforço</t>
  </si>
  <si>
    <t>SUB-TOTAL 7</t>
  </si>
  <si>
    <t>TOTAL DOS CUSTOS DIRETOS ( SUB-TOTAL 1 AO 7)</t>
  </si>
  <si>
    <t>CUSTOS INDIRETOS</t>
  </si>
  <si>
    <t xml:space="preserve"> GURPO 8 -  IMPOSTOS</t>
  </si>
  <si>
    <t>Cofins, PIS/PASEP, IRPJ, CSLL e ISS, entre outros.</t>
  </si>
  <si>
    <t>TOTAL DOS CUSTOS INDIRETOS (SUB-TOTAL 8)</t>
  </si>
  <si>
    <t>LUCRO</t>
  </si>
  <si>
    <t>Lucro - Simples Nacional</t>
  </si>
  <si>
    <t>TOTAL GERAL ( Custos Diretos, Indiretos, Impostos + Lucro)</t>
  </si>
  <si>
    <t>AACP SERVIÇO AMBIENTAL LTDA ME</t>
  </si>
  <si>
    <t>25 361 124/0001-23</t>
  </si>
  <si>
    <t>ISENTA</t>
  </si>
  <si>
    <t>093/16</t>
  </si>
  <si>
    <t>AV SETE DE SETEMBRO, 1136 BAIRRO CENTRO SALTINHO - SP</t>
  </si>
  <si>
    <t>19 3374-3858</t>
  </si>
  <si>
    <t>AACPAMBIENTAL@GMAIL.COM</t>
  </si>
  <si>
    <t>LOTE 01</t>
  </si>
  <si>
    <t>Refeição - Valor médio ( almoço e janta) - R$25,00  por refeição/dias por funcionario</t>
  </si>
  <si>
    <t>Hospedagem - diária ( Valor médio/dias)por funcionario</t>
  </si>
  <si>
    <t xml:space="preserve">Porta Isca Chave </t>
  </si>
  <si>
    <t xml:space="preserve">Armadilha  Adesiva </t>
  </si>
  <si>
    <t xml:space="preserve">Aplicado % para eventual refazimento/retorno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</si>
</sst>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164" formatCode="&quot;R$&quot;\ #,##0.00"/>
    <numFmt numFmtId="165" formatCode="0.0000%"/>
  </numFmts>
  <fonts count="2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.5"/>
      <name val="Calibri"/>
      <family val="2"/>
    </font>
    <font>
      <sz val="8.5"/>
      <color rgb="FF111111"/>
      <name val="Calibri"/>
      <family val="2"/>
    </font>
    <font>
      <b/>
      <sz val="8.5"/>
      <name val="Calibri"/>
      <family val="2"/>
    </font>
    <font>
      <sz val="8.5"/>
      <color rgb="FF0F0F0F"/>
      <name val="Calibri"/>
      <family val="2"/>
    </font>
    <font>
      <sz val="8.5"/>
      <color rgb="FF161616"/>
      <name val="Calibri"/>
      <family val="2"/>
    </font>
    <font>
      <sz val="8.5"/>
      <color rgb="FF0E0E0E"/>
      <name val="Calibri"/>
      <family val="2"/>
    </font>
    <font>
      <sz val="8.5"/>
      <color rgb="FF181818"/>
      <name val="Calibri"/>
      <family val="2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theme="5"/>
        <bgColor indexed="64"/>
      </patternFill>
    </fill>
    <fill>
      <patternFill patternType="solid">
        <fgColor rgb="FFFFE598"/>
        <bgColor rgb="FFFFE598"/>
      </patternFill>
    </fill>
    <fill>
      <patternFill patternType="solid">
        <fgColor theme="5"/>
        <bgColor rgb="FFFFE598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0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0" borderId="0" xfId="0" applyFont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/>
    <xf numFmtId="0" fontId="3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4" fillId="0" borderId="4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/>
    </xf>
    <xf numFmtId="0" fontId="0" fillId="0" borderId="8" xfId="0" applyBorder="1"/>
    <xf numFmtId="0" fontId="1" fillId="0" borderId="0" xfId="0" applyFont="1" applyAlignment="1">
      <alignment horizontal="center"/>
    </xf>
    <xf numFmtId="0" fontId="3" fillId="0" borderId="8" xfId="0" applyFont="1" applyBorder="1"/>
    <xf numFmtId="0" fontId="3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/>
    </xf>
    <xf numFmtId="8" fontId="3" fillId="3" borderId="9" xfId="0" applyNumberFormat="1" applyFont="1" applyFill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4" borderId="3" xfId="0" applyFont="1" applyFill="1" applyBorder="1"/>
    <xf numFmtId="0" fontId="3" fillId="0" borderId="0" xfId="0" applyFont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1" fillId="0" borderId="12" xfId="0" applyFont="1" applyBorder="1"/>
    <xf numFmtId="0" fontId="1" fillId="0" borderId="2" xfId="0" applyFont="1" applyBorder="1"/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1" fillId="0" borderId="1" xfId="0" applyFont="1" applyBorder="1"/>
    <xf numFmtId="164" fontId="1" fillId="0" borderId="2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" fillId="0" borderId="16" xfId="0" applyFont="1" applyBorder="1"/>
    <xf numFmtId="0" fontId="1" fillId="0" borderId="8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3" borderId="1" xfId="0" applyFont="1" applyFill="1" applyBorder="1"/>
    <xf numFmtId="0" fontId="0" fillId="3" borderId="2" xfId="0" applyFill="1" applyBorder="1"/>
    <xf numFmtId="164" fontId="3" fillId="3" borderId="3" xfId="0" applyNumberFormat="1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164" fontId="1" fillId="0" borderId="26" xfId="0" applyNumberFormat="1" applyFont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27" xfId="0" applyNumberFormat="1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164" fontId="1" fillId="0" borderId="31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0" fontId="3" fillId="0" borderId="33" xfId="0" applyFont="1" applyBorder="1"/>
    <xf numFmtId="0" fontId="1" fillId="0" borderId="34" xfId="0" applyFont="1" applyBorder="1"/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8" fontId="3" fillId="3" borderId="2" xfId="0" applyNumberFormat="1" applyFont="1" applyFill="1" applyBorder="1"/>
    <xf numFmtId="8" fontId="3" fillId="3" borderId="3" xfId="0" applyNumberFormat="1" applyFont="1" applyFill="1" applyBorder="1"/>
    <xf numFmtId="0" fontId="3" fillId="2" borderId="12" xfId="0" applyFont="1" applyFill="1" applyBorder="1"/>
    <xf numFmtId="164" fontId="1" fillId="0" borderId="8" xfId="0" applyNumberFormat="1" applyFont="1" applyBorder="1" applyAlignment="1">
      <alignment horizontal="left"/>
    </xf>
    <xf numFmtId="164" fontId="1" fillId="0" borderId="0" xfId="0" applyNumberFormat="1" applyFont="1" applyAlignment="1">
      <alignment horizontal="left"/>
    </xf>
    <xf numFmtId="164" fontId="1" fillId="0" borderId="12" xfId="0" applyNumberFormat="1" applyFont="1" applyBorder="1" applyAlignment="1">
      <alignment horizontal="left"/>
    </xf>
    <xf numFmtId="8" fontId="1" fillId="0" borderId="12" xfId="0" applyNumberFormat="1" applyFont="1" applyBorder="1" applyAlignment="1">
      <alignment horizontal="left"/>
    </xf>
    <xf numFmtId="9" fontId="1" fillId="0" borderId="0" xfId="0" applyNumberFormat="1" applyFont="1" applyAlignment="1">
      <alignment horizontal="left"/>
    </xf>
    <xf numFmtId="164" fontId="3" fillId="3" borderId="2" xfId="0" applyNumberFormat="1" applyFont="1" applyFill="1" applyBorder="1"/>
    <xf numFmtId="0" fontId="3" fillId="3" borderId="2" xfId="0" applyFont="1" applyFill="1" applyBorder="1"/>
    <xf numFmtId="164" fontId="3" fillId="3" borderId="3" xfId="0" applyNumberFormat="1" applyFont="1" applyFill="1" applyBorder="1"/>
    <xf numFmtId="10" fontId="1" fillId="0" borderId="8" xfId="0" applyNumberFormat="1" applyFont="1" applyBorder="1" applyAlignment="1">
      <alignment horizontal="center"/>
    </xf>
    <xf numFmtId="10" fontId="1" fillId="0" borderId="12" xfId="0" applyNumberFormat="1" applyFont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4" fontId="3" fillId="3" borderId="3" xfId="0" applyNumberFormat="1" applyFont="1" applyFill="1" applyBorder="1" applyAlignment="1">
      <alignment horizontal="center"/>
    </xf>
    <xf numFmtId="0" fontId="13" fillId="0" borderId="55" xfId="0" applyFont="1" applyBorder="1" applyAlignment="1">
      <alignment vertical="center" wrapText="1"/>
    </xf>
    <xf numFmtId="0" fontId="13" fillId="0" borderId="47" xfId="0" applyFont="1" applyBorder="1" applyAlignment="1">
      <alignment vertical="center" wrapText="1"/>
    </xf>
    <xf numFmtId="0" fontId="13" fillId="0" borderId="49" xfId="0" applyFont="1" applyBorder="1" applyAlignment="1">
      <alignment vertical="center" wrapText="1"/>
    </xf>
    <xf numFmtId="164" fontId="15" fillId="9" borderId="56" xfId="0" applyNumberFormat="1" applyFont="1" applyFill="1" applyBorder="1"/>
    <xf numFmtId="164" fontId="15" fillId="9" borderId="55" xfId="0" applyNumberFormat="1" applyFont="1" applyFill="1" applyBorder="1"/>
    <xf numFmtId="164" fontId="13" fillId="0" borderId="57" xfId="0" applyNumberFormat="1" applyFont="1" applyBorder="1"/>
    <xf numFmtId="0" fontId="13" fillId="8" borderId="52" xfId="0" applyFont="1" applyFill="1" applyBorder="1"/>
    <xf numFmtId="0" fontId="13" fillId="8" borderId="53" xfId="0" applyFont="1" applyFill="1" applyBorder="1"/>
    <xf numFmtId="0" fontId="15" fillId="8" borderId="54" xfId="0" applyFont="1" applyFill="1" applyBorder="1"/>
    <xf numFmtId="0" fontId="15" fillId="0" borderId="44" xfId="0" applyFont="1" applyBorder="1"/>
    <xf numFmtId="0" fontId="15" fillId="0" borderId="45" xfId="0" applyFont="1" applyBorder="1"/>
    <xf numFmtId="164" fontId="16" fillId="9" borderId="55" xfId="0" applyNumberFormat="1" applyFont="1" applyFill="1" applyBorder="1"/>
    <xf numFmtId="164" fontId="13" fillId="0" borderId="54" xfId="0" applyNumberFormat="1" applyFont="1" applyBorder="1"/>
    <xf numFmtId="164" fontId="15" fillId="10" borderId="55" xfId="0" applyNumberFormat="1" applyFont="1" applyFill="1" applyBorder="1"/>
    <xf numFmtId="164" fontId="13" fillId="10" borderId="54" xfId="0" applyNumberFormat="1" applyFont="1" applyFill="1" applyBorder="1"/>
    <xf numFmtId="0" fontId="15" fillId="10" borderId="52" xfId="0" applyFont="1" applyFill="1" applyBorder="1"/>
    <xf numFmtId="0" fontId="15" fillId="10" borderId="53" xfId="0" applyFont="1" applyFill="1" applyBorder="1"/>
    <xf numFmtId="0" fontId="15" fillId="10" borderId="54" xfId="0" applyFont="1" applyFill="1" applyBorder="1"/>
    <xf numFmtId="164" fontId="12" fillId="11" borderId="55" xfId="0" applyNumberFormat="1" applyFont="1" applyFill="1" applyBorder="1"/>
    <xf numFmtId="0" fontId="13" fillId="7" borderId="52" xfId="0" applyFont="1" applyFill="1" applyBorder="1"/>
    <xf numFmtId="0" fontId="15" fillId="7" borderId="53" xfId="0" applyFont="1" applyFill="1" applyBorder="1"/>
    <xf numFmtId="0" fontId="15" fillId="7" borderId="54" xfId="0" applyFont="1" applyFill="1" applyBorder="1"/>
    <xf numFmtId="164" fontId="13" fillId="7" borderId="55" xfId="0" applyNumberFormat="1" applyFont="1" applyFill="1" applyBorder="1"/>
    <xf numFmtId="0" fontId="17" fillId="0" borderId="0" xfId="0" applyFont="1"/>
    <xf numFmtId="0" fontId="18" fillId="0" borderId="0" xfId="0" applyFont="1" applyAlignment="1">
      <alignment horizontal="center"/>
    </xf>
    <xf numFmtId="0" fontId="19" fillId="0" borderId="0" xfId="0" applyFont="1"/>
    <xf numFmtId="164" fontId="3" fillId="0" borderId="8" xfId="0" applyNumberFormat="1" applyFont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2" borderId="3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8" fontId="1" fillId="0" borderId="1" xfId="0" applyNumberFormat="1" applyFont="1" applyBorder="1" applyAlignment="1">
      <alignment horizontal="left"/>
    </xf>
    <xf numFmtId="8" fontId="1" fillId="0" borderId="2" xfId="0" applyNumberFormat="1" applyFont="1" applyBorder="1" applyAlignment="1">
      <alignment horizontal="left"/>
    </xf>
    <xf numFmtId="8" fontId="1" fillId="0" borderId="3" xfId="0" applyNumberFormat="1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28" xfId="0" applyFont="1" applyBorder="1" applyAlignment="1">
      <alignment horizontal="left"/>
    </xf>
    <xf numFmtId="0" fontId="3" fillId="2" borderId="22" xfId="0" applyFont="1" applyFill="1" applyBorder="1" applyAlignment="1">
      <alignment horizontal="center"/>
    </xf>
    <xf numFmtId="0" fontId="1" fillId="0" borderId="29" xfId="0" applyFont="1" applyBorder="1" applyAlignment="1">
      <alignment horizontal="left" wrapText="1"/>
    </xf>
    <xf numFmtId="0" fontId="1" fillId="0" borderId="30" xfId="0" applyFont="1" applyBorder="1" applyAlignment="1">
      <alignment horizontal="left"/>
    </xf>
    <xf numFmtId="0" fontId="5" fillId="0" borderId="16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8" fontId="5" fillId="0" borderId="39" xfId="0" applyNumberFormat="1" applyFont="1" applyBorder="1" applyAlignment="1">
      <alignment horizontal="left" vertical="top" wrapText="1"/>
    </xf>
    <xf numFmtId="8" fontId="5" fillId="0" borderId="40" xfId="0" applyNumberFormat="1" applyFont="1" applyBorder="1" applyAlignment="1">
      <alignment horizontal="left" vertical="top" wrapText="1"/>
    </xf>
    <xf numFmtId="8" fontId="5" fillId="0" borderId="4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8" fontId="5" fillId="0" borderId="36" xfId="0" applyNumberFormat="1" applyFont="1" applyBorder="1" applyAlignment="1">
      <alignment horizontal="left" vertical="top" wrapText="1"/>
    </xf>
    <xf numFmtId="8" fontId="5" fillId="0" borderId="37" xfId="0" applyNumberFormat="1" applyFont="1" applyBorder="1" applyAlignment="1">
      <alignment horizontal="left" vertical="top" wrapText="1"/>
    </xf>
    <xf numFmtId="8" fontId="5" fillId="0" borderId="38" xfId="0" applyNumberFormat="1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8" fontId="3" fillId="0" borderId="33" xfId="0" applyNumberFormat="1" applyFont="1" applyBorder="1" applyAlignment="1">
      <alignment horizontal="left" wrapText="1"/>
    </xf>
    <xf numFmtId="8" fontId="3" fillId="0" borderId="42" xfId="0" applyNumberFormat="1" applyFont="1" applyBorder="1" applyAlignment="1">
      <alignment horizontal="left" wrapText="1"/>
    </xf>
    <xf numFmtId="8" fontId="3" fillId="0" borderId="43" xfId="0" applyNumberFormat="1" applyFont="1" applyBorder="1" applyAlignment="1">
      <alignment horizontal="left" wrapText="1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3" fillId="5" borderId="16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28" xfId="0" applyFont="1" applyFill="1" applyBorder="1" applyAlignment="1">
      <alignment horizontal="center"/>
    </xf>
    <xf numFmtId="0" fontId="5" fillId="0" borderId="36" xfId="0" applyFont="1" applyBorder="1" applyAlignment="1">
      <alignment horizontal="left" vertical="top" wrapText="1"/>
    </xf>
    <xf numFmtId="0" fontId="5" fillId="0" borderId="38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8" fontId="1" fillId="0" borderId="16" xfId="0" applyNumberFormat="1" applyFont="1" applyBorder="1" applyAlignment="1">
      <alignment horizontal="left"/>
    </xf>
    <xf numFmtId="8" fontId="1" fillId="0" borderId="0" xfId="0" applyNumberFormat="1" applyFont="1" applyAlignment="1">
      <alignment horizontal="left"/>
    </xf>
    <xf numFmtId="8" fontId="1" fillId="0" borderId="28" xfId="0" applyNumberFormat="1" applyFont="1" applyBorder="1" applyAlignment="1">
      <alignment horizontal="left"/>
    </xf>
    <xf numFmtId="0" fontId="7" fillId="0" borderId="36" xfId="0" applyFont="1" applyBorder="1" applyAlignment="1">
      <alignment horizontal="left" vertical="top" wrapText="1"/>
    </xf>
    <xf numFmtId="0" fontId="7" fillId="0" borderId="38" xfId="0" applyFont="1" applyBorder="1" applyAlignment="1">
      <alignment horizontal="left" vertical="top" wrapText="1"/>
    </xf>
    <xf numFmtId="8" fontId="3" fillId="0" borderId="1" xfId="0" applyNumberFormat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7" fillId="0" borderId="15" xfId="0" applyFont="1" applyBorder="1" applyAlignment="1">
      <alignment horizontal="left" vertical="top" wrapText="1"/>
    </xf>
    <xf numFmtId="0" fontId="3" fillId="5" borderId="36" xfId="0" applyFont="1" applyFill="1" applyBorder="1" applyAlignment="1">
      <alignment horizontal="left"/>
    </xf>
    <xf numFmtId="0" fontId="3" fillId="5" borderId="15" xfId="0" applyFont="1" applyFill="1" applyBorder="1" applyAlignment="1">
      <alignment horizontal="left"/>
    </xf>
    <xf numFmtId="8" fontId="3" fillId="0" borderId="36" xfId="0" applyNumberFormat="1" applyFont="1" applyBorder="1" applyAlignment="1">
      <alignment horizontal="left"/>
    </xf>
    <xf numFmtId="0" fontId="3" fillId="0" borderId="37" xfId="0" applyFont="1" applyBorder="1" applyAlignment="1">
      <alignment horizontal="left"/>
    </xf>
    <xf numFmtId="0" fontId="3" fillId="0" borderId="38" xfId="0" applyFont="1" applyBorder="1" applyAlignment="1">
      <alignment horizontal="left"/>
    </xf>
    <xf numFmtId="0" fontId="7" fillId="0" borderId="33" xfId="0" applyFont="1" applyBorder="1" applyAlignment="1">
      <alignment horizontal="left" vertical="top" wrapText="1"/>
    </xf>
    <xf numFmtId="0" fontId="7" fillId="0" borderId="34" xfId="0" applyFont="1" applyBorder="1" applyAlignment="1">
      <alignment horizontal="left" vertical="top" wrapText="1"/>
    </xf>
    <xf numFmtId="8" fontId="3" fillId="0" borderId="13" xfId="0" applyNumberFormat="1" applyFont="1" applyBorder="1" applyAlignment="1">
      <alignment horizontal="left"/>
    </xf>
    <xf numFmtId="8" fontId="3" fillId="0" borderId="10" xfId="0" applyNumberFormat="1" applyFont="1" applyBorder="1" applyAlignment="1">
      <alignment horizontal="left"/>
    </xf>
    <xf numFmtId="8" fontId="3" fillId="0" borderId="27" xfId="0" applyNumberFormat="1" applyFont="1" applyBorder="1" applyAlignment="1">
      <alignment horizontal="left"/>
    </xf>
    <xf numFmtId="8" fontId="3" fillId="0" borderId="0" xfId="0" applyNumberFormat="1" applyFont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5" borderId="36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8" fontId="3" fillId="0" borderId="37" xfId="0" applyNumberFormat="1" applyFont="1" applyBorder="1" applyAlignment="1">
      <alignment horizontal="left"/>
    </xf>
    <xf numFmtId="8" fontId="3" fillId="0" borderId="38" xfId="0" applyNumberFormat="1" applyFont="1" applyBorder="1" applyAlignment="1">
      <alignment horizontal="left"/>
    </xf>
    <xf numFmtId="0" fontId="3" fillId="3" borderId="36" xfId="0" applyFont="1" applyFill="1" applyBorder="1" applyAlignment="1">
      <alignment horizontal="left"/>
    </xf>
    <xf numFmtId="0" fontId="3" fillId="3" borderId="37" xfId="0" applyFont="1" applyFill="1" applyBorder="1" applyAlignment="1">
      <alignment horizontal="left"/>
    </xf>
    <xf numFmtId="0" fontId="3" fillId="3" borderId="38" xfId="0" applyFont="1" applyFill="1" applyBorder="1" applyAlignment="1">
      <alignment horizontal="left"/>
    </xf>
    <xf numFmtId="0" fontId="3" fillId="5" borderId="38" xfId="0" applyFont="1" applyFill="1" applyBorder="1" applyAlignment="1">
      <alignment horizontal="left"/>
    </xf>
    <xf numFmtId="164" fontId="1" fillId="0" borderId="0" xfId="0" applyNumberFormat="1" applyFont="1" applyAlignment="1">
      <alignment horizontal="left"/>
    </xf>
    <xf numFmtId="164" fontId="1" fillId="0" borderId="28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164" fontId="1" fillId="0" borderId="3" xfId="0" applyNumberFormat="1" applyFont="1" applyBorder="1" applyAlignment="1">
      <alignment horizontal="left"/>
    </xf>
    <xf numFmtId="0" fontId="3" fillId="2" borderId="36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5" fillId="0" borderId="28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0" borderId="13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164" fontId="1" fillId="0" borderId="13" xfId="0" applyNumberFormat="1" applyFont="1" applyBorder="1" applyAlignment="1">
      <alignment horizontal="left"/>
    </xf>
    <xf numFmtId="164" fontId="1" fillId="0" borderId="27" xfId="0" applyNumberFormat="1" applyFont="1" applyBorder="1" applyAlignment="1">
      <alignment horizontal="left"/>
    </xf>
    <xf numFmtId="164" fontId="1" fillId="0" borderId="10" xfId="0" applyNumberFormat="1" applyFont="1" applyBorder="1" applyAlignment="1">
      <alignment horizontal="left"/>
    </xf>
    <xf numFmtId="0" fontId="15" fillId="0" borderId="52" xfId="0" applyFont="1" applyBorder="1" applyAlignment="1">
      <alignment horizontal="left" vertical="center" wrapText="1"/>
    </xf>
    <xf numFmtId="0" fontId="14" fillId="0" borderId="53" xfId="0" applyFont="1" applyBorder="1"/>
    <xf numFmtId="0" fontId="14" fillId="0" borderId="54" xfId="0" applyFont="1" applyBorder="1"/>
    <xf numFmtId="0" fontId="12" fillId="0" borderId="0" xfId="0" applyFont="1" applyAlignment="1">
      <alignment horizontal="center"/>
    </xf>
    <xf numFmtId="0" fontId="0" fillId="0" borderId="0" xfId="0"/>
    <xf numFmtId="0" fontId="13" fillId="6" borderId="44" xfId="0" applyFont="1" applyFill="1" applyBorder="1" applyAlignment="1">
      <alignment horizontal="center" vertical="center" wrapText="1"/>
    </xf>
    <xf numFmtId="0" fontId="14" fillId="0" borderId="45" xfId="0" applyFont="1" applyBorder="1"/>
    <xf numFmtId="0" fontId="14" fillId="0" borderId="46" xfId="0" applyFont="1" applyBorder="1"/>
    <xf numFmtId="0" fontId="14" fillId="0" borderId="47" xfId="0" applyFont="1" applyBorder="1"/>
    <xf numFmtId="0" fontId="14" fillId="0" borderId="48" xfId="0" applyFont="1" applyBorder="1"/>
    <xf numFmtId="0" fontId="14" fillId="0" borderId="49" xfId="0" applyFont="1" applyBorder="1"/>
    <xf numFmtId="0" fontId="14" fillId="0" borderId="50" xfId="0" applyFont="1" applyBorder="1"/>
    <xf numFmtId="0" fontId="14" fillId="0" borderId="51" xfId="0" applyFont="1" applyBorder="1"/>
    <xf numFmtId="0" fontId="13" fillId="0" borderId="52" xfId="0" applyFont="1" applyBorder="1" applyAlignment="1">
      <alignment horizontal="left" vertical="center" wrapText="1"/>
    </xf>
    <xf numFmtId="0" fontId="13" fillId="0" borderId="49" xfId="0" applyFont="1" applyBorder="1" applyAlignment="1">
      <alignment horizontal="left" vertical="center" wrapText="1"/>
    </xf>
    <xf numFmtId="0" fontId="13" fillId="7" borderId="44" xfId="0" applyFont="1" applyFill="1" applyBorder="1" applyAlignment="1">
      <alignment horizontal="center" vertical="center" wrapText="1"/>
    </xf>
    <xf numFmtId="0" fontId="13" fillId="0" borderId="49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center" wrapText="1"/>
    </xf>
    <xf numFmtId="0" fontId="2" fillId="0" borderId="52" xfId="1" applyBorder="1" applyAlignment="1">
      <alignment horizontal="left" vertical="center" wrapText="1"/>
    </xf>
    <xf numFmtId="0" fontId="13" fillId="7" borderId="52" xfId="0" applyFont="1" applyFill="1" applyBorder="1" applyAlignment="1">
      <alignment horizontal="center" vertical="center" wrapText="1"/>
    </xf>
    <xf numFmtId="0" fontId="13" fillId="8" borderId="52" xfId="0" applyFont="1" applyFill="1" applyBorder="1" applyAlignment="1">
      <alignment horizontal="left" vertical="center"/>
    </xf>
    <xf numFmtId="0" fontId="15" fillId="0" borderId="44" xfId="0" applyFont="1" applyBorder="1" applyAlignment="1">
      <alignment horizontal="left" vertical="top" wrapText="1"/>
    </xf>
    <xf numFmtId="0" fontId="15" fillId="0" borderId="52" xfId="0" applyFont="1" applyBorder="1" applyAlignment="1">
      <alignment horizontal="left" vertical="top" wrapText="1"/>
    </xf>
    <xf numFmtId="0" fontId="13" fillId="10" borderId="52" xfId="0" applyFont="1" applyFill="1" applyBorder="1" applyAlignment="1">
      <alignment horizontal="left"/>
    </xf>
    <xf numFmtId="0" fontId="13" fillId="10" borderId="52" xfId="0" applyFont="1" applyFill="1" applyBorder="1" applyAlignment="1">
      <alignment horizontal="left" vertical="top" wrapText="1"/>
    </xf>
    <xf numFmtId="0" fontId="13" fillId="0" borderId="52" xfId="0" applyFont="1" applyBorder="1" applyAlignment="1">
      <alignment horizontal="left" vertical="top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ACPAMBIENT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A2ADC-7C9D-4C9A-8160-C8FB5B7E46B4}">
  <dimension ref="A1:P155"/>
  <sheetViews>
    <sheetView tabSelected="1" topLeftCell="A100" zoomScale="80" zoomScaleNormal="80" workbookViewId="0">
      <selection activeCell="E134" sqref="E134"/>
    </sheetView>
  </sheetViews>
  <sheetFormatPr defaultRowHeight="14.5" x14ac:dyDescent="0.35"/>
  <cols>
    <col min="1" max="1" width="48.08984375" customWidth="1"/>
    <col min="2" max="2" width="32.81640625" customWidth="1"/>
    <col min="3" max="3" width="43.1796875" customWidth="1"/>
    <col min="4" max="4" width="15.81640625" bestFit="1" customWidth="1"/>
    <col min="5" max="5" width="12.453125" bestFit="1" customWidth="1"/>
    <col min="6" max="6" width="27.453125" bestFit="1" customWidth="1"/>
    <col min="7" max="7" width="20" bestFit="1" customWidth="1"/>
    <col min="8" max="8" width="45.6328125" bestFit="1" customWidth="1"/>
  </cols>
  <sheetData>
    <row r="1" spans="1:16" ht="15" thickBot="1" x14ac:dyDescent="0.4">
      <c r="A1" s="117" t="s">
        <v>0</v>
      </c>
      <c r="B1" s="118"/>
      <c r="C1" s="118"/>
      <c r="D1" s="118"/>
      <c r="E1" s="118"/>
      <c r="F1" s="118"/>
      <c r="G1" s="119"/>
    </row>
    <row r="2" spans="1:16" ht="15" thickBot="1" x14ac:dyDescent="0.4">
      <c r="A2" s="4"/>
      <c r="B2" s="4"/>
      <c r="C2" s="4"/>
      <c r="D2" s="4"/>
      <c r="E2" s="4"/>
      <c r="F2" s="4"/>
      <c r="G2" s="4"/>
      <c r="H2" s="115"/>
      <c r="I2" s="115"/>
      <c r="J2" s="115"/>
      <c r="K2" s="115"/>
      <c r="L2" s="115"/>
      <c r="M2" s="115"/>
      <c r="N2" s="115"/>
      <c r="O2" s="115"/>
      <c r="P2" s="115"/>
    </row>
    <row r="3" spans="1:16" ht="15" thickBot="1" x14ac:dyDescent="0.4">
      <c r="A3" s="5" t="s">
        <v>1</v>
      </c>
      <c r="B3" s="120" t="s">
        <v>2</v>
      </c>
      <c r="C3" s="121"/>
      <c r="D3" s="5" t="s">
        <v>3</v>
      </c>
      <c r="E3" s="5" t="s">
        <v>4</v>
      </c>
      <c r="F3" s="6" t="s">
        <v>5</v>
      </c>
      <c r="G3" s="6" t="s">
        <v>6</v>
      </c>
      <c r="H3" s="115"/>
      <c r="I3" s="115"/>
      <c r="J3" s="115"/>
      <c r="K3" s="115"/>
      <c r="L3" s="115"/>
      <c r="M3" s="115"/>
      <c r="N3" s="115"/>
      <c r="O3" s="115"/>
      <c r="P3" s="115"/>
    </row>
    <row r="4" spans="1:16" x14ac:dyDescent="0.35">
      <c r="A4" s="7" t="s">
        <v>190</v>
      </c>
      <c r="B4" s="122" t="s">
        <v>7</v>
      </c>
      <c r="C4" s="122"/>
      <c r="D4" s="8" t="s">
        <v>8</v>
      </c>
      <c r="E4" s="9">
        <v>118058.66</v>
      </c>
      <c r="F4" s="10">
        <f>(E4*D7)</f>
        <v>50765.2238</v>
      </c>
      <c r="G4" s="10">
        <v>203060.88</v>
      </c>
      <c r="H4" s="115"/>
      <c r="I4" s="113"/>
      <c r="J4" s="113"/>
      <c r="K4" s="113"/>
      <c r="L4" s="113"/>
      <c r="M4" s="113"/>
      <c r="N4" s="113"/>
      <c r="O4" s="115"/>
      <c r="P4" s="115"/>
    </row>
    <row r="5" spans="1:16" ht="15" thickBot="1" x14ac:dyDescent="0.4">
      <c r="A5" s="11"/>
      <c r="B5" s="4" t="s">
        <v>9</v>
      </c>
      <c r="C5" s="12"/>
      <c r="D5" s="13"/>
      <c r="E5" s="13"/>
      <c r="F5" s="13"/>
      <c r="G5" s="116"/>
      <c r="H5" s="115"/>
      <c r="I5" s="113">
        <v>23000</v>
      </c>
      <c r="J5" s="113"/>
      <c r="K5" s="113"/>
      <c r="L5" s="113"/>
      <c r="M5" s="113"/>
      <c r="N5" s="113"/>
      <c r="O5" s="115"/>
      <c r="P5" s="115"/>
    </row>
    <row r="6" spans="1:16" x14ac:dyDescent="0.35">
      <c r="A6" s="11"/>
      <c r="B6" s="4" t="s">
        <v>10</v>
      </c>
      <c r="C6" s="14"/>
      <c r="D6" s="15" t="s">
        <v>11</v>
      </c>
      <c r="E6" s="13"/>
      <c r="F6" s="13"/>
      <c r="G6" s="13"/>
      <c r="H6" s="115"/>
      <c r="I6" s="113"/>
      <c r="J6" s="113"/>
      <c r="K6" s="113"/>
      <c r="L6" s="113"/>
      <c r="M6" s="113"/>
      <c r="N6" s="113"/>
      <c r="O6" s="115"/>
      <c r="P6" s="115"/>
    </row>
    <row r="7" spans="1:16" ht="15" thickBot="1" x14ac:dyDescent="0.4">
      <c r="A7" s="11"/>
      <c r="B7" s="4" t="s">
        <v>12</v>
      </c>
      <c r="C7" s="14"/>
      <c r="D7" s="16">
        <v>0.43</v>
      </c>
      <c r="E7" s="13"/>
      <c r="F7" s="13"/>
      <c r="G7" s="13"/>
      <c r="H7" s="115"/>
      <c r="I7" s="113"/>
      <c r="J7" s="113"/>
      <c r="K7" s="113"/>
      <c r="L7" s="113"/>
      <c r="M7" s="113"/>
      <c r="N7" s="113"/>
      <c r="O7" s="115"/>
      <c r="P7" s="115"/>
    </row>
    <row r="8" spans="1:16" ht="15" thickBot="1" x14ac:dyDescent="0.4">
      <c r="A8" s="17"/>
      <c r="B8" s="18" t="s">
        <v>13</v>
      </c>
      <c r="C8" s="18"/>
      <c r="D8" s="17"/>
      <c r="E8" s="17"/>
      <c r="F8" s="17"/>
      <c r="G8" s="17"/>
      <c r="H8" s="115"/>
      <c r="I8" s="113"/>
      <c r="J8" s="113"/>
      <c r="K8" s="113"/>
      <c r="L8" s="113"/>
      <c r="M8" s="113"/>
      <c r="N8" s="113"/>
      <c r="O8" s="115"/>
      <c r="P8" s="115"/>
    </row>
    <row r="9" spans="1:16" ht="15" thickBot="1" x14ac:dyDescent="0.4">
      <c r="A9" s="4"/>
      <c r="B9" s="4"/>
      <c r="C9" s="4"/>
      <c r="D9" s="4"/>
      <c r="E9" s="4"/>
      <c r="F9" s="4"/>
      <c r="G9" s="4"/>
      <c r="H9" s="115"/>
      <c r="I9" s="113"/>
      <c r="J9" s="113"/>
      <c r="K9" s="113"/>
      <c r="L9" s="113"/>
      <c r="M9" s="113"/>
      <c r="N9" s="113"/>
      <c r="O9" s="115"/>
      <c r="P9" s="115"/>
    </row>
    <row r="10" spans="1:16" ht="15" thickBot="1" x14ac:dyDescent="0.4">
      <c r="A10" s="117" t="s">
        <v>14</v>
      </c>
      <c r="B10" s="118"/>
      <c r="C10" s="118"/>
      <c r="D10" s="118"/>
      <c r="E10" s="118"/>
      <c r="F10" s="118"/>
      <c r="G10" s="119"/>
      <c r="H10" s="115"/>
      <c r="I10" s="113"/>
      <c r="J10" s="113"/>
      <c r="K10" s="113"/>
      <c r="L10" s="113"/>
      <c r="M10" s="113"/>
      <c r="N10" s="113"/>
      <c r="O10" s="115"/>
      <c r="P10" s="115"/>
    </row>
    <row r="11" spans="1:16" ht="15" thickBot="1" x14ac:dyDescent="0.4">
      <c r="A11" s="4"/>
      <c r="B11" s="4"/>
      <c r="C11" s="4"/>
      <c r="D11" s="4"/>
      <c r="E11" s="4"/>
      <c r="F11" s="4"/>
      <c r="G11" s="4"/>
      <c r="H11" s="115"/>
      <c r="I11" s="113"/>
      <c r="J11" s="113"/>
      <c r="K11" s="113"/>
      <c r="L11" s="113"/>
      <c r="M11" s="113"/>
      <c r="N11" s="113"/>
      <c r="O11" s="115"/>
      <c r="P11" s="115"/>
    </row>
    <row r="12" spans="1:16" ht="15" thickBot="1" x14ac:dyDescent="0.4">
      <c r="A12" s="123" t="s">
        <v>15</v>
      </c>
      <c r="B12" s="124"/>
      <c r="C12" s="124"/>
      <c r="D12" s="124"/>
      <c r="E12" s="124"/>
      <c r="F12" s="124"/>
      <c r="G12" s="19"/>
      <c r="H12" s="115"/>
      <c r="I12" s="113"/>
      <c r="J12" s="113"/>
      <c r="K12" s="113"/>
      <c r="L12" s="113"/>
      <c r="M12" s="113"/>
      <c r="N12" s="113"/>
      <c r="O12" s="115"/>
      <c r="P12" s="115"/>
    </row>
    <row r="13" spans="1:16" ht="15" thickBot="1" x14ac:dyDescent="0.4">
      <c r="A13" s="14"/>
      <c r="B13" s="14"/>
      <c r="C13" s="14"/>
      <c r="D13" s="14"/>
      <c r="E13" s="14"/>
      <c r="F13" s="14"/>
      <c r="G13" s="4"/>
      <c r="H13" s="115"/>
      <c r="I13" s="113"/>
      <c r="J13" s="113"/>
      <c r="K13" s="113"/>
      <c r="L13" s="113"/>
      <c r="M13" s="113"/>
      <c r="N13" s="113"/>
      <c r="O13" s="115"/>
      <c r="P13" s="115"/>
    </row>
    <row r="14" spans="1:16" ht="15" thickBot="1" x14ac:dyDescent="0.4">
      <c r="A14" s="14" t="s">
        <v>16</v>
      </c>
      <c r="B14" s="20"/>
      <c r="C14" s="21" t="s">
        <v>17</v>
      </c>
      <c r="D14" s="89">
        <f>(E4)</f>
        <v>118058.66</v>
      </c>
      <c r="E14" s="14"/>
      <c r="F14" s="21" t="s">
        <v>18</v>
      </c>
      <c r="G14" s="22">
        <f>(D14*4)</f>
        <v>472234.64</v>
      </c>
      <c r="H14" s="115"/>
      <c r="I14" s="113"/>
      <c r="J14" s="113"/>
      <c r="K14" s="113"/>
      <c r="L14" s="113"/>
      <c r="M14" s="113"/>
      <c r="N14" s="113"/>
      <c r="O14" s="115"/>
      <c r="P14" s="115"/>
    </row>
    <row r="15" spans="1:16" ht="15" thickBot="1" x14ac:dyDescent="0.4">
      <c r="A15" s="4"/>
      <c r="B15" s="4"/>
      <c r="C15" s="4"/>
      <c r="D15" s="4"/>
      <c r="E15" s="4"/>
      <c r="F15" s="4"/>
      <c r="G15" s="4"/>
      <c r="H15" s="115"/>
      <c r="I15" s="113"/>
      <c r="J15" s="113"/>
      <c r="K15" s="113"/>
      <c r="L15" s="113"/>
      <c r="M15" s="113"/>
      <c r="N15" s="113"/>
      <c r="O15" s="115"/>
      <c r="P15" s="115"/>
    </row>
    <row r="16" spans="1:16" ht="15" thickBot="1" x14ac:dyDescent="0.4">
      <c r="A16" s="5" t="s">
        <v>19</v>
      </c>
      <c r="B16" s="23" t="s">
        <v>2</v>
      </c>
      <c r="C16" s="5" t="s">
        <v>20</v>
      </c>
      <c r="D16" s="23" t="s">
        <v>21</v>
      </c>
      <c r="E16" s="5" t="s">
        <v>22</v>
      </c>
      <c r="F16" s="5" t="s">
        <v>23</v>
      </c>
      <c r="G16" s="24" t="s">
        <v>24</v>
      </c>
      <c r="H16" s="115"/>
      <c r="I16" s="113"/>
      <c r="J16" s="113"/>
      <c r="K16" s="113"/>
      <c r="L16" s="113"/>
      <c r="M16" s="113"/>
      <c r="N16" s="113"/>
      <c r="O16" s="115"/>
      <c r="P16" s="115"/>
    </row>
    <row r="17" spans="1:16" ht="15" thickBot="1" x14ac:dyDescent="0.4">
      <c r="A17" s="25" t="s">
        <v>25</v>
      </c>
      <c r="B17" s="26" t="s">
        <v>26</v>
      </c>
      <c r="C17" s="27" t="s">
        <v>27</v>
      </c>
      <c r="D17" s="28" t="s">
        <v>28</v>
      </c>
      <c r="E17" s="29">
        <v>160</v>
      </c>
      <c r="F17" s="30">
        <v>19.399999999999999</v>
      </c>
      <c r="G17" s="31">
        <f>E17*F17</f>
        <v>3104</v>
      </c>
      <c r="H17" s="115"/>
      <c r="I17" s="113">
        <f>(I5*4)</f>
        <v>92000</v>
      </c>
      <c r="J17" s="113">
        <v>27</v>
      </c>
      <c r="K17" s="113">
        <f>(I17/J17)</f>
        <v>3407.4074074074074</v>
      </c>
      <c r="L17" s="113">
        <f>(G14/K17)</f>
        <v>138.59060086956524</v>
      </c>
      <c r="M17" s="113"/>
      <c r="N17" s="113"/>
      <c r="O17" s="115"/>
      <c r="P17" s="115"/>
    </row>
    <row r="18" spans="1:16" ht="15" thickBot="1" x14ac:dyDescent="0.4">
      <c r="A18" s="25" t="s">
        <v>25</v>
      </c>
      <c r="B18" s="26" t="s">
        <v>29</v>
      </c>
      <c r="C18" s="27" t="s">
        <v>27</v>
      </c>
      <c r="D18" s="28" t="s">
        <v>28</v>
      </c>
      <c r="E18" s="29">
        <v>130</v>
      </c>
      <c r="F18" s="30">
        <v>16.8</v>
      </c>
      <c r="G18" s="31">
        <f t="shared" ref="G18:G20" si="0">E18*F18</f>
        <v>2184</v>
      </c>
      <c r="H18" s="115"/>
      <c r="I18" s="113">
        <v>92000</v>
      </c>
      <c r="J18" s="113">
        <v>22</v>
      </c>
      <c r="K18" s="113">
        <f>(I18/J18)</f>
        <v>4181.818181818182</v>
      </c>
      <c r="L18" s="113">
        <f>(G14/K18)</f>
        <v>112.9256747826087</v>
      </c>
      <c r="M18" s="113"/>
      <c r="N18" s="113"/>
      <c r="O18" s="115"/>
      <c r="P18" s="115"/>
    </row>
    <row r="19" spans="1:16" ht="15" thickBot="1" x14ac:dyDescent="0.4">
      <c r="A19" s="25" t="s">
        <v>25</v>
      </c>
      <c r="B19" s="26" t="s">
        <v>30</v>
      </c>
      <c r="C19" s="27" t="s">
        <v>31</v>
      </c>
      <c r="D19" s="28" t="s">
        <v>32</v>
      </c>
      <c r="E19" s="29">
        <v>390</v>
      </c>
      <c r="F19" s="30">
        <v>27.3</v>
      </c>
      <c r="G19" s="31">
        <f t="shared" si="0"/>
        <v>10647</v>
      </c>
      <c r="H19" s="115"/>
      <c r="I19" s="113">
        <v>92000</v>
      </c>
      <c r="J19" s="113">
        <v>73</v>
      </c>
      <c r="K19" s="113">
        <f>(I19/J19)</f>
        <v>1260.2739726027398</v>
      </c>
      <c r="L19" s="113">
        <f>(G14/K19)</f>
        <v>374.70792086956521</v>
      </c>
      <c r="M19" s="113"/>
      <c r="N19" s="113"/>
      <c r="O19" s="115"/>
      <c r="P19" s="115"/>
    </row>
    <row r="20" spans="1:16" ht="15" thickBot="1" x14ac:dyDescent="0.4">
      <c r="A20" s="25" t="s">
        <v>25</v>
      </c>
      <c r="B20" s="26" t="s">
        <v>33</v>
      </c>
      <c r="C20" s="27" t="s">
        <v>34</v>
      </c>
      <c r="D20" s="28" t="s">
        <v>35</v>
      </c>
      <c r="E20" s="29">
        <v>8</v>
      </c>
      <c r="F20" s="30">
        <v>67.900000000000006</v>
      </c>
      <c r="G20" s="31">
        <f t="shared" si="0"/>
        <v>543.20000000000005</v>
      </c>
      <c r="H20" s="115"/>
      <c r="I20" s="113">
        <v>92000</v>
      </c>
      <c r="J20" s="113">
        <v>1</v>
      </c>
      <c r="K20" s="113">
        <f>(I20/J20)</f>
        <v>92000</v>
      </c>
      <c r="L20" s="113">
        <f>(G14/K20)</f>
        <v>5.1329852173913046</v>
      </c>
      <c r="M20" s="113"/>
      <c r="N20" s="113"/>
      <c r="O20" s="115"/>
      <c r="P20" s="115"/>
    </row>
    <row r="21" spans="1:16" ht="15" thickBot="1" x14ac:dyDescent="0.4">
      <c r="A21" s="125" t="s">
        <v>36</v>
      </c>
      <c r="B21" s="126"/>
      <c r="C21" s="126"/>
      <c r="D21" s="126"/>
      <c r="E21" s="126"/>
      <c r="F21" s="126"/>
      <c r="G21" s="32">
        <f>SUM(G17:G20)</f>
        <v>16478.2</v>
      </c>
      <c r="H21" s="115"/>
      <c r="I21" s="113"/>
      <c r="J21" s="113"/>
      <c r="K21" s="113"/>
      <c r="L21" s="113"/>
      <c r="M21" s="113"/>
      <c r="N21" s="113"/>
      <c r="O21" s="115"/>
      <c r="P21" s="115"/>
    </row>
    <row r="22" spans="1:16" x14ac:dyDescent="0.35">
      <c r="A22" s="33"/>
      <c r="B22" s="4"/>
      <c r="C22" s="4"/>
      <c r="D22" s="4"/>
      <c r="E22" s="4"/>
      <c r="F22" s="4"/>
      <c r="G22" s="34"/>
      <c r="H22" s="115"/>
      <c r="I22" s="113"/>
      <c r="J22" s="113"/>
      <c r="K22" s="113"/>
      <c r="L22" s="113"/>
      <c r="M22" s="113"/>
      <c r="N22" s="113"/>
      <c r="O22" s="115"/>
      <c r="P22" s="115"/>
    </row>
    <row r="23" spans="1:16" x14ac:dyDescent="0.35">
      <c r="A23" s="33" t="s">
        <v>37</v>
      </c>
      <c r="B23" s="33"/>
      <c r="C23" s="4"/>
      <c r="D23" s="4"/>
      <c r="E23" s="4"/>
      <c r="F23" s="4"/>
      <c r="G23" s="34"/>
      <c r="H23" s="115"/>
      <c r="I23" s="113"/>
      <c r="J23" s="113"/>
      <c r="K23" s="113"/>
      <c r="L23" s="113"/>
      <c r="M23" s="113"/>
      <c r="N23" s="113"/>
      <c r="O23" s="115"/>
      <c r="P23" s="115"/>
    </row>
    <row r="24" spans="1:16" ht="15" thickBot="1" x14ac:dyDescent="0.4">
      <c r="A24" s="33"/>
      <c r="B24" s="4"/>
      <c r="C24" s="4"/>
      <c r="D24" s="4"/>
      <c r="E24" s="4"/>
      <c r="F24" s="4"/>
      <c r="G24" s="34"/>
      <c r="H24" s="115"/>
      <c r="I24" s="113"/>
      <c r="J24" s="113"/>
      <c r="K24" s="113"/>
      <c r="L24" s="113"/>
      <c r="M24" s="113"/>
      <c r="N24" s="113"/>
      <c r="O24" s="115"/>
      <c r="P24" s="115"/>
    </row>
    <row r="25" spans="1:16" ht="15" thickBot="1" x14ac:dyDescent="0.4">
      <c r="A25" s="1" t="s">
        <v>19</v>
      </c>
      <c r="B25" s="35" t="s">
        <v>2</v>
      </c>
      <c r="C25" s="2" t="s">
        <v>20</v>
      </c>
      <c r="D25" s="35" t="s">
        <v>21</v>
      </c>
      <c r="E25" s="35"/>
      <c r="F25" s="2" t="s">
        <v>23</v>
      </c>
      <c r="G25" s="35" t="s">
        <v>24</v>
      </c>
      <c r="H25" s="115"/>
      <c r="I25" s="113"/>
      <c r="J25" s="113"/>
      <c r="K25" s="113"/>
      <c r="L25" s="113"/>
      <c r="M25" s="113"/>
      <c r="N25" s="113"/>
      <c r="O25" s="115"/>
      <c r="P25" s="115"/>
    </row>
    <row r="26" spans="1:16" ht="15" thickBot="1" x14ac:dyDescent="0.4">
      <c r="A26" s="36" t="s">
        <v>38</v>
      </c>
      <c r="B26" s="25" t="s">
        <v>39</v>
      </c>
      <c r="C26" s="28" t="s">
        <v>40</v>
      </c>
      <c r="D26" s="27" t="s">
        <v>35</v>
      </c>
      <c r="E26" s="27">
        <v>12</v>
      </c>
      <c r="F26" s="37">
        <v>298.91000000000003</v>
      </c>
      <c r="G26" s="30">
        <f>E26*F26</f>
        <v>3586.92</v>
      </c>
      <c r="H26" s="115"/>
      <c r="I26" s="113">
        <v>92000</v>
      </c>
      <c r="J26" s="113">
        <v>3</v>
      </c>
      <c r="K26" s="113">
        <f>(I26/J26)</f>
        <v>30666.666666666668</v>
      </c>
      <c r="L26" s="113">
        <f>(G14/K26)</f>
        <v>15.398955652173912</v>
      </c>
      <c r="M26" s="113"/>
      <c r="N26" s="113"/>
      <c r="O26" s="115"/>
      <c r="P26" s="115"/>
    </row>
    <row r="27" spans="1:16" ht="15" thickBot="1" x14ac:dyDescent="0.4">
      <c r="A27" s="125" t="s">
        <v>36</v>
      </c>
      <c r="B27" s="126"/>
      <c r="C27" s="126"/>
      <c r="D27" s="126"/>
      <c r="E27" s="126"/>
      <c r="F27" s="126"/>
      <c r="G27" s="38">
        <f>SUM(G26:G26)</f>
        <v>3586.92</v>
      </c>
      <c r="H27" s="115"/>
      <c r="I27" s="113"/>
      <c r="J27" s="113"/>
      <c r="K27" s="113"/>
      <c r="L27" s="113"/>
      <c r="M27" s="113"/>
      <c r="N27" s="113"/>
      <c r="O27" s="115"/>
      <c r="P27" s="115"/>
    </row>
    <row r="28" spans="1:16" x14ac:dyDescent="0.35">
      <c r="A28" s="4"/>
      <c r="B28" s="4"/>
      <c r="C28" s="12"/>
      <c r="D28" s="12"/>
      <c r="E28" s="12"/>
      <c r="F28" s="39"/>
      <c r="G28" s="39"/>
      <c r="H28" s="115"/>
      <c r="I28" s="113"/>
      <c r="J28" s="113"/>
      <c r="K28" s="113"/>
      <c r="L28" s="113"/>
      <c r="M28" s="113"/>
      <c r="N28" s="113"/>
      <c r="O28" s="115"/>
      <c r="P28" s="115"/>
    </row>
    <row r="29" spans="1:16" x14ac:dyDescent="0.35">
      <c r="A29" s="14" t="s">
        <v>41</v>
      </c>
      <c r="B29" s="20"/>
      <c r="C29" s="14"/>
      <c r="D29" s="14"/>
      <c r="E29" s="14"/>
      <c r="F29" s="14"/>
      <c r="G29" s="4"/>
      <c r="H29" s="115"/>
      <c r="I29" s="113"/>
      <c r="J29" s="113"/>
      <c r="K29" s="113"/>
      <c r="L29" s="113"/>
      <c r="M29" s="113"/>
      <c r="N29" s="113"/>
      <c r="O29" s="115"/>
      <c r="P29" s="115"/>
    </row>
    <row r="30" spans="1:16" ht="15" thickBot="1" x14ac:dyDescent="0.4">
      <c r="A30" s="4"/>
      <c r="B30" s="4"/>
      <c r="C30" s="4"/>
      <c r="D30" s="4"/>
      <c r="E30" s="4"/>
      <c r="F30" s="4"/>
      <c r="G30" s="4"/>
      <c r="H30" s="115"/>
      <c r="I30" s="113"/>
      <c r="J30" s="113"/>
      <c r="K30" s="113"/>
      <c r="L30" s="113"/>
      <c r="M30" s="113"/>
      <c r="N30" s="113"/>
      <c r="O30" s="115"/>
      <c r="P30" s="115"/>
    </row>
    <row r="31" spans="1:16" ht="15" thickBot="1" x14ac:dyDescent="0.4">
      <c r="A31" s="1" t="s">
        <v>19</v>
      </c>
      <c r="B31" s="35" t="s">
        <v>2</v>
      </c>
      <c r="C31" s="40" t="s">
        <v>20</v>
      </c>
      <c r="D31" s="41" t="s">
        <v>21</v>
      </c>
      <c r="E31" s="35" t="s">
        <v>22</v>
      </c>
      <c r="F31" s="35" t="s">
        <v>23</v>
      </c>
      <c r="G31" s="35" t="s">
        <v>24</v>
      </c>
      <c r="H31" s="115"/>
      <c r="I31" s="113"/>
      <c r="J31" s="113"/>
      <c r="K31" s="113"/>
      <c r="L31" s="113"/>
      <c r="M31" s="113"/>
      <c r="N31" s="113"/>
      <c r="O31" s="115"/>
      <c r="P31" s="115"/>
    </row>
    <row r="32" spans="1:16" ht="15" thickBot="1" x14ac:dyDescent="0.4">
      <c r="A32" s="42" t="s">
        <v>42</v>
      </c>
      <c r="B32" s="43" t="s">
        <v>43</v>
      </c>
      <c r="C32" s="44" t="s">
        <v>44</v>
      </c>
      <c r="D32" s="45" t="s">
        <v>45</v>
      </c>
      <c r="E32" s="46">
        <v>390</v>
      </c>
      <c r="F32" s="47">
        <v>33.4</v>
      </c>
      <c r="G32" s="47">
        <f>E32*F32</f>
        <v>13026</v>
      </c>
      <c r="H32" s="115"/>
      <c r="I32" s="113">
        <v>92000</v>
      </c>
      <c r="J32" s="114">
        <v>74</v>
      </c>
      <c r="K32" s="113">
        <f>(I32/J32)</f>
        <v>1243.2432432432433</v>
      </c>
      <c r="L32" s="113">
        <f>(G14/K32)</f>
        <v>379.84090608695652</v>
      </c>
      <c r="M32" s="113"/>
      <c r="N32" s="113"/>
      <c r="O32" s="115"/>
      <c r="P32" s="115"/>
    </row>
    <row r="33" spans="1:16" ht="15" thickBot="1" x14ac:dyDescent="0.4">
      <c r="A33" s="36" t="s">
        <v>42</v>
      </c>
      <c r="B33" s="25" t="s">
        <v>46</v>
      </c>
      <c r="C33" s="48" t="s">
        <v>47</v>
      </c>
      <c r="D33" s="49" t="s">
        <v>48</v>
      </c>
      <c r="E33" s="27">
        <v>40</v>
      </c>
      <c r="F33" s="30">
        <v>47.29</v>
      </c>
      <c r="G33" s="30">
        <f t="shared" ref="G33:G35" si="1">E33*F33</f>
        <v>1891.6</v>
      </c>
      <c r="H33" s="115"/>
      <c r="I33" s="113">
        <v>92000</v>
      </c>
      <c r="J33" s="114">
        <v>2</v>
      </c>
      <c r="K33" s="113">
        <f>(I33/J33)</f>
        <v>46000</v>
      </c>
      <c r="L33" s="113">
        <f>(G14/K33)</f>
        <v>10.265970434782609</v>
      </c>
      <c r="M33" s="113"/>
      <c r="N33" s="113"/>
      <c r="O33" s="115"/>
      <c r="P33" s="115"/>
    </row>
    <row r="34" spans="1:16" ht="15" thickBot="1" x14ac:dyDescent="0.4">
      <c r="A34" s="36" t="s">
        <v>42</v>
      </c>
      <c r="B34" s="25" t="s">
        <v>194</v>
      </c>
      <c r="C34" s="48" t="s">
        <v>49</v>
      </c>
      <c r="D34" s="49" t="s">
        <v>50</v>
      </c>
      <c r="E34" s="27">
        <v>100</v>
      </c>
      <c r="F34" s="30">
        <v>4</v>
      </c>
      <c r="G34" s="30">
        <f t="shared" si="1"/>
        <v>400</v>
      </c>
      <c r="H34" s="115"/>
      <c r="I34" s="113">
        <v>92000</v>
      </c>
      <c r="J34" s="114">
        <v>10</v>
      </c>
      <c r="K34" s="113">
        <f>(I34/J34)</f>
        <v>9200</v>
      </c>
      <c r="L34" s="113">
        <f>(G14/K34)</f>
        <v>51.329852173913046</v>
      </c>
      <c r="M34" s="113"/>
      <c r="N34" s="113"/>
      <c r="O34" s="115"/>
      <c r="P34" s="115"/>
    </row>
    <row r="35" spans="1:16" ht="15" thickBot="1" x14ac:dyDescent="0.4">
      <c r="A35" s="42" t="s">
        <v>42</v>
      </c>
      <c r="B35" s="17" t="s">
        <v>193</v>
      </c>
      <c r="C35" s="44" t="s">
        <v>49</v>
      </c>
      <c r="D35" s="45" t="s">
        <v>50</v>
      </c>
      <c r="E35" s="46">
        <v>300</v>
      </c>
      <c r="F35" s="50">
        <v>5.2</v>
      </c>
      <c r="G35" s="47">
        <f t="shared" si="1"/>
        <v>1560</v>
      </c>
      <c r="H35" s="115"/>
      <c r="I35" s="113">
        <v>92000</v>
      </c>
      <c r="J35" s="114">
        <v>56</v>
      </c>
      <c r="K35" s="113">
        <f>(I35/J35)</f>
        <v>1642.8571428571429</v>
      </c>
      <c r="L35" s="113">
        <f>(G14/K35)</f>
        <v>287.44717217391303</v>
      </c>
      <c r="M35" s="113"/>
      <c r="N35" s="113"/>
      <c r="O35" s="115"/>
      <c r="P35" s="115"/>
    </row>
    <row r="36" spans="1:16" ht="15" thickBot="1" x14ac:dyDescent="0.4">
      <c r="A36" s="132" t="s">
        <v>36</v>
      </c>
      <c r="B36" s="133"/>
      <c r="C36" s="133"/>
      <c r="D36" s="133"/>
      <c r="E36" s="133"/>
      <c r="F36" s="133"/>
      <c r="G36" s="32">
        <f>SUM(G32:G35)</f>
        <v>16877.599999999999</v>
      </c>
      <c r="H36" s="115"/>
      <c r="I36" s="113"/>
      <c r="J36" s="113"/>
      <c r="K36" s="113"/>
      <c r="L36" s="113"/>
      <c r="M36" s="113"/>
      <c r="N36" s="113"/>
      <c r="O36" s="115"/>
      <c r="P36" s="115"/>
    </row>
    <row r="37" spans="1:16" ht="15" thickBot="1" x14ac:dyDescent="0.4">
      <c r="H37" s="115"/>
      <c r="I37" s="113"/>
      <c r="J37" s="113"/>
      <c r="K37" s="113"/>
      <c r="L37" s="113"/>
      <c r="M37" s="113"/>
      <c r="N37" s="113"/>
      <c r="O37" s="115"/>
      <c r="P37" s="115"/>
    </row>
    <row r="38" spans="1:16" ht="15" thickBot="1" x14ac:dyDescent="0.4">
      <c r="A38" s="52" t="s">
        <v>51</v>
      </c>
      <c r="B38" s="53"/>
      <c r="C38" s="53"/>
      <c r="D38" s="53"/>
      <c r="E38" s="53"/>
      <c r="F38" s="53"/>
      <c r="G38" s="54">
        <f>G21+G27+G36</f>
        <v>36942.720000000001</v>
      </c>
      <c r="H38" s="115"/>
      <c r="I38" s="113"/>
      <c r="J38" s="113"/>
      <c r="K38" s="113"/>
      <c r="L38" s="113"/>
      <c r="M38" s="113"/>
      <c r="N38" s="113"/>
      <c r="O38" s="115"/>
      <c r="P38" s="115"/>
    </row>
    <row r="39" spans="1:16" ht="15" thickBot="1" x14ac:dyDescent="0.4">
      <c r="H39" s="115"/>
      <c r="I39" s="113"/>
      <c r="J39" s="113"/>
      <c r="K39" s="113"/>
      <c r="L39" s="113"/>
      <c r="M39" s="113"/>
      <c r="N39" s="113"/>
      <c r="O39" s="115"/>
      <c r="P39" s="115"/>
    </row>
    <row r="40" spans="1:16" ht="15" thickBot="1" x14ac:dyDescent="0.4">
      <c r="A40" s="123" t="s">
        <v>52</v>
      </c>
      <c r="B40" s="124"/>
      <c r="C40" s="124"/>
      <c r="D40" s="124"/>
      <c r="E40" s="124"/>
      <c r="F40" s="124"/>
      <c r="G40" s="19"/>
      <c r="H40" s="115"/>
      <c r="I40" s="113"/>
      <c r="J40" s="113"/>
      <c r="K40" s="113"/>
      <c r="L40" s="113"/>
      <c r="M40" s="113"/>
      <c r="N40" s="113"/>
      <c r="O40" s="115"/>
      <c r="P40" s="115"/>
    </row>
    <row r="41" spans="1:16" ht="15" thickBot="1" x14ac:dyDescent="0.4">
      <c r="H41" s="115"/>
      <c r="I41" s="113"/>
      <c r="J41" s="113"/>
      <c r="K41" s="113"/>
      <c r="L41" s="113"/>
      <c r="M41" s="113"/>
      <c r="N41" s="113"/>
      <c r="O41" s="115"/>
      <c r="P41" s="115"/>
    </row>
    <row r="42" spans="1:16" x14ac:dyDescent="0.35">
      <c r="A42" s="134" t="s">
        <v>2</v>
      </c>
      <c r="B42" s="135"/>
      <c r="C42" s="56" t="s">
        <v>53</v>
      </c>
      <c r="D42" s="57" t="s">
        <v>21</v>
      </c>
      <c r="E42" s="56" t="s">
        <v>22</v>
      </c>
      <c r="F42" s="57" t="s">
        <v>23</v>
      </c>
      <c r="G42" s="56" t="s">
        <v>24</v>
      </c>
      <c r="H42" s="115"/>
      <c r="I42" s="113"/>
      <c r="J42" s="113"/>
      <c r="K42" s="113"/>
      <c r="L42" s="113"/>
      <c r="M42" s="113"/>
      <c r="N42" s="113"/>
      <c r="O42" s="115"/>
      <c r="P42" s="115"/>
    </row>
    <row r="43" spans="1:16" ht="15" thickBot="1" x14ac:dyDescent="0.4">
      <c r="A43" s="136" t="s">
        <v>54</v>
      </c>
      <c r="B43" s="137"/>
      <c r="C43" s="58" t="s">
        <v>55</v>
      </c>
      <c r="D43" s="59" t="s">
        <v>56</v>
      </c>
      <c r="E43" s="58">
        <v>4</v>
      </c>
      <c r="F43" s="60">
        <f>51.58/36</f>
        <v>1.4327777777777777</v>
      </c>
      <c r="G43" s="61">
        <f>E43*F43</f>
        <v>5.7311111111111108</v>
      </c>
      <c r="H43" s="115"/>
      <c r="I43" s="113"/>
      <c r="J43" s="113"/>
      <c r="K43" s="113"/>
      <c r="L43" s="113"/>
      <c r="M43" s="113"/>
      <c r="N43" s="113"/>
      <c r="O43" s="115"/>
      <c r="P43" s="115"/>
    </row>
    <row r="44" spans="1:16" ht="15" thickBot="1" x14ac:dyDescent="0.4">
      <c r="A44" s="127" t="s">
        <v>57</v>
      </c>
      <c r="B44" s="128"/>
      <c r="C44" s="27" t="s">
        <v>55</v>
      </c>
      <c r="D44" s="28" t="s">
        <v>56</v>
      </c>
      <c r="E44" s="27">
        <v>4</v>
      </c>
      <c r="F44" s="37">
        <f>345.58/35</f>
        <v>9.8737142857142857</v>
      </c>
      <c r="G44" s="30">
        <f t="shared" ref="G44:G46" si="2">E44*F44</f>
        <v>39.494857142857143</v>
      </c>
      <c r="H44" s="115"/>
      <c r="I44" s="113"/>
      <c r="J44" s="113"/>
      <c r="K44" s="113"/>
      <c r="L44" s="113"/>
      <c r="M44" s="113"/>
      <c r="N44" s="113"/>
      <c r="O44" s="115"/>
      <c r="P44" s="115"/>
    </row>
    <row r="45" spans="1:16" ht="15" thickBot="1" x14ac:dyDescent="0.4">
      <c r="A45" s="127" t="s">
        <v>58</v>
      </c>
      <c r="B45" s="128"/>
      <c r="C45" s="27" t="s">
        <v>55</v>
      </c>
      <c r="D45" s="28" t="s">
        <v>56</v>
      </c>
      <c r="E45" s="46">
        <v>4</v>
      </c>
      <c r="F45" s="37">
        <f>2511.85/36</f>
        <v>69.773611111111109</v>
      </c>
      <c r="G45" s="30">
        <f t="shared" si="2"/>
        <v>279.09444444444443</v>
      </c>
      <c r="H45" s="115"/>
      <c r="I45" s="113"/>
      <c r="J45" s="113"/>
      <c r="K45" s="113"/>
      <c r="L45" s="113"/>
      <c r="M45" s="113"/>
      <c r="N45" s="113"/>
      <c r="O45" s="115"/>
      <c r="P45" s="115"/>
    </row>
    <row r="46" spans="1:16" ht="15" thickBot="1" x14ac:dyDescent="0.4">
      <c r="A46" s="129" t="s">
        <v>59</v>
      </c>
      <c r="B46" s="130"/>
      <c r="C46" s="64" t="s">
        <v>55</v>
      </c>
      <c r="D46" s="65" t="s">
        <v>56</v>
      </c>
      <c r="E46" s="27">
        <v>4</v>
      </c>
      <c r="F46" s="66">
        <f>11298.4/36</f>
        <v>313.84444444444443</v>
      </c>
      <c r="G46" s="30">
        <f t="shared" si="2"/>
        <v>1255.3777777777777</v>
      </c>
      <c r="H46" s="115"/>
      <c r="I46" s="113"/>
      <c r="J46" s="113"/>
      <c r="K46" s="113"/>
      <c r="L46" s="113"/>
      <c r="M46" s="113"/>
      <c r="N46" s="113"/>
      <c r="O46" s="115"/>
      <c r="P46" s="115"/>
    </row>
    <row r="47" spans="1:16" ht="15" thickBot="1" x14ac:dyDescent="0.4">
      <c r="A47" s="125" t="s">
        <v>36</v>
      </c>
      <c r="B47" s="126"/>
      <c r="C47" s="126"/>
      <c r="D47" s="126"/>
      <c r="E47" s="126"/>
      <c r="F47" s="126"/>
      <c r="G47" s="38">
        <f>SUM(G43:G46)</f>
        <v>1579.6981904761903</v>
      </c>
      <c r="H47" s="115"/>
      <c r="I47" s="113"/>
      <c r="J47" s="113"/>
      <c r="K47" s="113"/>
      <c r="L47" s="113"/>
      <c r="M47" s="113"/>
      <c r="N47" s="113"/>
      <c r="O47" s="115"/>
      <c r="P47" s="115"/>
    </row>
    <row r="48" spans="1:16" ht="15" thickBot="1" x14ac:dyDescent="0.4">
      <c r="H48" s="115"/>
      <c r="I48" s="113"/>
      <c r="J48" s="113"/>
      <c r="K48" s="113"/>
      <c r="L48" s="113"/>
      <c r="M48" s="113"/>
      <c r="N48" s="113"/>
      <c r="O48" s="115"/>
      <c r="P48" s="115"/>
    </row>
    <row r="49" spans="1:16" ht="15" thickBot="1" x14ac:dyDescent="0.4">
      <c r="A49" s="52" t="s">
        <v>60</v>
      </c>
      <c r="B49" s="53"/>
      <c r="C49" s="53"/>
      <c r="D49" s="53"/>
      <c r="E49" s="53"/>
      <c r="F49" s="53"/>
      <c r="G49" s="54">
        <f>G47</f>
        <v>1579.6981904761903</v>
      </c>
      <c r="H49" s="115"/>
      <c r="I49" s="113"/>
      <c r="J49" s="113"/>
      <c r="K49" s="113"/>
      <c r="L49" s="113"/>
      <c r="M49" s="113"/>
      <c r="N49" s="113"/>
      <c r="O49" s="115"/>
      <c r="P49" s="115"/>
    </row>
    <row r="50" spans="1:16" ht="15" thickBot="1" x14ac:dyDescent="0.4">
      <c r="H50" s="115"/>
      <c r="I50" s="113"/>
      <c r="J50" s="113"/>
      <c r="K50" s="113"/>
      <c r="L50" s="113"/>
      <c r="M50" s="113"/>
      <c r="N50" s="113"/>
      <c r="O50" s="115"/>
      <c r="P50" s="115"/>
    </row>
    <row r="51" spans="1:16" ht="15" thickBot="1" x14ac:dyDescent="0.4">
      <c r="A51" s="123" t="s">
        <v>61</v>
      </c>
      <c r="B51" s="124"/>
      <c r="C51" s="124"/>
      <c r="D51" s="124"/>
      <c r="E51" s="124"/>
      <c r="F51" s="124"/>
      <c r="G51" s="19"/>
      <c r="H51" s="115"/>
      <c r="I51" s="113"/>
      <c r="J51" s="113"/>
      <c r="K51" s="113"/>
      <c r="L51" s="113"/>
      <c r="M51" s="113"/>
      <c r="N51" s="113"/>
      <c r="O51" s="115"/>
      <c r="P51" s="115"/>
    </row>
    <row r="52" spans="1:16" ht="15" thickBot="1" x14ac:dyDescent="0.4">
      <c r="H52" s="115"/>
      <c r="I52" s="113"/>
      <c r="J52" s="113"/>
      <c r="K52" s="113"/>
      <c r="L52" s="113"/>
      <c r="M52" s="113"/>
      <c r="N52" s="113"/>
      <c r="O52" s="115"/>
      <c r="P52" s="115"/>
    </row>
    <row r="53" spans="1:16" ht="15" thickBot="1" x14ac:dyDescent="0.4">
      <c r="A53" s="117" t="s">
        <v>2</v>
      </c>
      <c r="B53" s="119"/>
      <c r="C53" s="2" t="s">
        <v>53</v>
      </c>
      <c r="D53" s="35" t="s">
        <v>21</v>
      </c>
      <c r="E53" s="2" t="s">
        <v>22</v>
      </c>
      <c r="F53" s="35" t="s">
        <v>23</v>
      </c>
      <c r="G53" s="3" t="s">
        <v>24</v>
      </c>
      <c r="H53" s="115"/>
      <c r="I53" s="113"/>
      <c r="J53" s="113"/>
      <c r="K53" s="113"/>
      <c r="L53" s="113"/>
      <c r="M53" s="113"/>
      <c r="N53" s="113"/>
      <c r="O53" s="115"/>
      <c r="P53" s="115"/>
    </row>
    <row r="54" spans="1:16" ht="15" thickBot="1" x14ac:dyDescent="0.4">
      <c r="A54" s="131" t="s">
        <v>62</v>
      </c>
      <c r="B54" s="128"/>
      <c r="C54" s="28" t="s">
        <v>63</v>
      </c>
      <c r="D54" s="27" t="s">
        <v>56</v>
      </c>
      <c r="E54" s="28">
        <v>4</v>
      </c>
      <c r="F54" s="30">
        <f>11.9/24</f>
        <v>0.49583333333333335</v>
      </c>
      <c r="G54" s="31">
        <f>E54*F54</f>
        <v>1.9833333333333334</v>
      </c>
      <c r="H54" s="115"/>
      <c r="I54" s="113"/>
      <c r="J54" s="113"/>
      <c r="K54" s="113"/>
      <c r="L54" s="113"/>
      <c r="M54" s="113"/>
      <c r="N54" s="113"/>
      <c r="O54" s="115"/>
      <c r="P54" s="115"/>
    </row>
    <row r="55" spans="1:16" ht="15" thickBot="1" x14ac:dyDescent="0.4">
      <c r="A55" s="127" t="s">
        <v>64</v>
      </c>
      <c r="B55" s="128"/>
      <c r="C55" s="28" t="s">
        <v>65</v>
      </c>
      <c r="D55" s="27" t="s">
        <v>56</v>
      </c>
      <c r="E55" s="28">
        <v>4</v>
      </c>
      <c r="F55" s="30">
        <f>20/12</f>
        <v>1.6666666666666667</v>
      </c>
      <c r="G55" s="31">
        <f t="shared" ref="G55:G57" si="3">E55*F55</f>
        <v>6.666666666666667</v>
      </c>
      <c r="H55" s="115"/>
      <c r="I55" s="113"/>
      <c r="J55" s="113"/>
      <c r="K55" s="113"/>
      <c r="L55" s="113"/>
      <c r="M55" s="113"/>
      <c r="N55" s="113"/>
      <c r="O55" s="115"/>
      <c r="P55" s="115"/>
    </row>
    <row r="56" spans="1:16" ht="15" thickBot="1" x14ac:dyDescent="0.4">
      <c r="A56" s="146" t="s">
        <v>66</v>
      </c>
      <c r="B56" s="148"/>
      <c r="C56" s="12" t="s">
        <v>67</v>
      </c>
      <c r="D56" s="46" t="s">
        <v>56</v>
      </c>
      <c r="E56" s="28">
        <v>4</v>
      </c>
      <c r="F56" s="47">
        <f>266/60</f>
        <v>4.4333333333333336</v>
      </c>
      <c r="G56" s="31">
        <f t="shared" si="3"/>
        <v>17.733333333333334</v>
      </c>
      <c r="H56" s="115"/>
      <c r="I56" s="113"/>
      <c r="J56" s="113"/>
      <c r="K56" s="113"/>
      <c r="L56" s="113"/>
      <c r="M56" s="113"/>
      <c r="N56" s="113"/>
      <c r="O56" s="115"/>
      <c r="P56" s="115"/>
    </row>
    <row r="57" spans="1:16" ht="15" thickBot="1" x14ac:dyDescent="0.4">
      <c r="A57" s="62" t="s">
        <v>68</v>
      </c>
      <c r="B57" s="63"/>
      <c r="C57" s="28" t="s">
        <v>69</v>
      </c>
      <c r="D57" s="27" t="s">
        <v>56</v>
      </c>
      <c r="E57" s="28">
        <v>4</v>
      </c>
      <c r="F57" s="30">
        <v>19.899999999999999</v>
      </c>
      <c r="G57" s="31">
        <f t="shared" si="3"/>
        <v>79.599999999999994</v>
      </c>
      <c r="H57" s="115"/>
      <c r="I57" s="113"/>
      <c r="J57" s="113"/>
      <c r="K57" s="113"/>
      <c r="L57" s="113"/>
      <c r="M57" s="113"/>
      <c r="N57" s="113"/>
      <c r="O57" s="115"/>
      <c r="P57" s="115"/>
    </row>
    <row r="58" spans="1:16" ht="15" thickBot="1" x14ac:dyDescent="0.4">
      <c r="A58" s="125" t="s">
        <v>36</v>
      </c>
      <c r="B58" s="126"/>
      <c r="C58" s="126"/>
      <c r="D58" s="126"/>
      <c r="E58" s="126"/>
      <c r="F58" s="126"/>
      <c r="G58" s="32">
        <f>SUM(G54:G57)</f>
        <v>105.98333333333332</v>
      </c>
      <c r="H58" s="115"/>
      <c r="I58" s="113"/>
      <c r="J58" s="113"/>
      <c r="K58" s="113"/>
      <c r="L58" s="113"/>
      <c r="M58" s="113"/>
      <c r="N58" s="113"/>
      <c r="O58" s="115"/>
      <c r="P58" s="115"/>
    </row>
    <row r="59" spans="1:16" ht="15" thickBot="1" x14ac:dyDescent="0.4">
      <c r="H59" s="115"/>
      <c r="I59" s="113"/>
      <c r="J59" s="113"/>
      <c r="K59" s="113"/>
      <c r="L59" s="113"/>
      <c r="M59" s="113"/>
      <c r="N59" s="113"/>
      <c r="O59" s="115"/>
      <c r="P59" s="115"/>
    </row>
    <row r="60" spans="1:16" ht="15" thickBot="1" x14ac:dyDescent="0.4">
      <c r="A60" s="52" t="s">
        <v>70</v>
      </c>
      <c r="B60" s="53"/>
      <c r="C60" s="53"/>
      <c r="D60" s="53"/>
      <c r="E60" s="53"/>
      <c r="F60" s="53"/>
      <c r="G60" s="54">
        <f>G58</f>
        <v>105.98333333333332</v>
      </c>
      <c r="H60" s="115"/>
      <c r="I60" s="113"/>
      <c r="J60" s="113"/>
      <c r="K60" s="113"/>
      <c r="L60" s="113"/>
      <c r="M60" s="113"/>
      <c r="N60" s="113"/>
      <c r="O60" s="115"/>
      <c r="P60" s="115"/>
    </row>
    <row r="61" spans="1:16" ht="15" thickBot="1" x14ac:dyDescent="0.4">
      <c r="A61" s="33"/>
      <c r="G61" s="34"/>
      <c r="H61" s="115"/>
      <c r="I61" s="113"/>
      <c r="J61" s="113"/>
      <c r="K61" s="113"/>
      <c r="L61" s="113"/>
      <c r="M61" s="113"/>
      <c r="N61" s="113"/>
      <c r="O61" s="115"/>
      <c r="P61" s="115"/>
    </row>
    <row r="62" spans="1:16" ht="15" thickBot="1" x14ac:dyDescent="0.4">
      <c r="A62" s="123" t="s">
        <v>71</v>
      </c>
      <c r="B62" s="124"/>
      <c r="C62" s="124"/>
      <c r="D62" s="124"/>
      <c r="E62" s="124"/>
      <c r="F62" s="124"/>
      <c r="G62" s="19"/>
      <c r="H62" s="115"/>
      <c r="I62" s="113"/>
      <c r="J62" s="113"/>
      <c r="K62" s="113"/>
      <c r="L62" s="113"/>
      <c r="M62" s="113"/>
      <c r="N62" s="113"/>
      <c r="O62" s="115"/>
      <c r="P62" s="115"/>
    </row>
    <row r="63" spans="1:16" ht="15" thickBot="1" x14ac:dyDescent="0.4">
      <c r="H63" s="115"/>
      <c r="I63" s="113"/>
      <c r="J63" s="113"/>
      <c r="K63" s="113"/>
      <c r="L63" s="113"/>
      <c r="M63" s="113"/>
      <c r="N63" s="113"/>
      <c r="O63" s="115"/>
      <c r="P63" s="115"/>
    </row>
    <row r="64" spans="1:16" x14ac:dyDescent="0.35">
      <c r="A64" s="134" t="s">
        <v>2</v>
      </c>
      <c r="B64" s="149"/>
      <c r="C64" s="56" t="s">
        <v>53</v>
      </c>
      <c r="D64" s="56" t="s">
        <v>21</v>
      </c>
      <c r="E64" s="56" t="s">
        <v>22</v>
      </c>
      <c r="F64" s="56" t="s">
        <v>23</v>
      </c>
      <c r="G64" s="55" t="s">
        <v>24</v>
      </c>
      <c r="H64" s="115"/>
      <c r="I64" s="113"/>
      <c r="J64" s="113"/>
      <c r="K64" s="113"/>
      <c r="L64" s="113"/>
      <c r="M64" s="113"/>
      <c r="N64" s="113"/>
      <c r="O64" s="115"/>
      <c r="P64" s="115"/>
    </row>
    <row r="65" spans="1:16" ht="15" thickBot="1" x14ac:dyDescent="0.4">
      <c r="A65" s="150" t="s">
        <v>72</v>
      </c>
      <c r="B65" s="151"/>
      <c r="C65" s="67" t="s">
        <v>73</v>
      </c>
      <c r="D65" s="67" t="s">
        <v>56</v>
      </c>
      <c r="E65" s="67">
        <v>4</v>
      </c>
      <c r="F65" s="68">
        <v>150</v>
      </c>
      <c r="G65" s="69">
        <f>E65*F65</f>
        <v>600</v>
      </c>
      <c r="H65" s="115"/>
      <c r="I65" s="113"/>
      <c r="J65" s="113"/>
      <c r="K65" s="113"/>
      <c r="L65" s="113"/>
      <c r="M65" s="113"/>
      <c r="N65" s="113"/>
      <c r="O65" s="115"/>
      <c r="P65" s="115"/>
    </row>
    <row r="66" spans="1:16" ht="15" thickBot="1" x14ac:dyDescent="0.4">
      <c r="A66" s="70" t="s">
        <v>36</v>
      </c>
      <c r="B66" s="71"/>
      <c r="C66" s="18"/>
      <c r="D66" s="18"/>
      <c r="E66" s="18"/>
      <c r="F66" s="18"/>
      <c r="G66" s="32">
        <f>SUM(G65:G65)</f>
        <v>600</v>
      </c>
      <c r="H66" s="115"/>
      <c r="I66" s="113"/>
      <c r="J66" s="113"/>
      <c r="K66" s="113"/>
      <c r="L66" s="113"/>
      <c r="M66" s="113"/>
      <c r="N66" s="113"/>
      <c r="O66" s="115"/>
      <c r="P66" s="115"/>
    </row>
    <row r="67" spans="1:16" ht="15" thickBot="1" x14ac:dyDescent="0.4">
      <c r="H67" s="115"/>
      <c r="I67" s="113"/>
      <c r="J67" s="113"/>
      <c r="K67" s="113"/>
      <c r="L67" s="113"/>
      <c r="M67" s="113"/>
      <c r="N67" s="113"/>
      <c r="O67" s="115"/>
      <c r="P67" s="115"/>
    </row>
    <row r="68" spans="1:16" ht="15" thickBot="1" x14ac:dyDescent="0.4">
      <c r="A68" s="52" t="s">
        <v>74</v>
      </c>
      <c r="B68" s="53"/>
      <c r="C68" s="53"/>
      <c r="D68" s="53"/>
      <c r="E68" s="53"/>
      <c r="F68" s="53"/>
      <c r="G68" s="54">
        <f>G66</f>
        <v>600</v>
      </c>
      <c r="H68" s="115"/>
      <c r="I68" s="113"/>
      <c r="J68" s="113"/>
      <c r="K68" s="113"/>
      <c r="L68" s="113"/>
      <c r="M68" s="113"/>
      <c r="N68" s="113"/>
      <c r="O68" s="115"/>
      <c r="P68" s="115"/>
    </row>
    <row r="69" spans="1:16" ht="15" thickBot="1" x14ac:dyDescent="0.4">
      <c r="H69" s="115"/>
      <c r="I69" s="113"/>
      <c r="J69" s="113"/>
      <c r="K69" s="113"/>
      <c r="L69" s="113"/>
      <c r="M69" s="113"/>
      <c r="N69" s="113"/>
      <c r="O69" s="115"/>
      <c r="P69" s="115"/>
    </row>
    <row r="70" spans="1:16" ht="15" thickBot="1" x14ac:dyDescent="0.4">
      <c r="A70" s="123" t="s">
        <v>75</v>
      </c>
      <c r="B70" s="124"/>
      <c r="C70" s="124"/>
      <c r="D70" s="124"/>
      <c r="E70" s="124"/>
      <c r="F70" s="124"/>
      <c r="G70" s="19"/>
      <c r="H70" s="115"/>
      <c r="I70" s="113"/>
      <c r="J70" s="113"/>
      <c r="K70" s="113"/>
      <c r="L70" s="113"/>
      <c r="M70" s="113"/>
      <c r="N70" s="113"/>
      <c r="O70" s="115"/>
      <c r="P70" s="115"/>
    </row>
    <row r="71" spans="1:16" x14ac:dyDescent="0.35">
      <c r="A71" s="14"/>
      <c r="B71" s="14"/>
      <c r="C71" s="14"/>
      <c r="D71" s="14"/>
      <c r="E71" s="14"/>
      <c r="F71" s="14"/>
      <c r="G71" s="4"/>
      <c r="H71" s="115"/>
      <c r="I71" s="113"/>
      <c r="J71" s="113"/>
      <c r="K71" s="113"/>
      <c r="L71" s="113"/>
      <c r="M71" s="113"/>
      <c r="N71" s="113"/>
      <c r="O71" s="115"/>
      <c r="P71" s="115"/>
    </row>
    <row r="72" spans="1:16" x14ac:dyDescent="0.35">
      <c r="A72" s="138" t="s">
        <v>76</v>
      </c>
      <c r="B72" s="138"/>
      <c r="C72" s="14"/>
      <c r="D72" s="14"/>
      <c r="E72" s="14"/>
      <c r="F72" s="14"/>
      <c r="G72" s="4"/>
      <c r="H72" s="115"/>
      <c r="I72" s="113"/>
      <c r="J72" s="113"/>
      <c r="K72" s="113"/>
      <c r="L72" s="113"/>
      <c r="M72" s="113"/>
      <c r="N72" s="113"/>
      <c r="O72" s="115"/>
      <c r="P72" s="115"/>
    </row>
    <row r="73" spans="1:16" ht="15" thickBot="1" x14ac:dyDescent="0.4">
      <c r="H73" s="115"/>
      <c r="I73" s="113"/>
      <c r="J73" s="113"/>
      <c r="K73" s="113"/>
      <c r="L73" s="113"/>
      <c r="M73" s="113"/>
      <c r="N73" s="113"/>
      <c r="O73" s="115"/>
      <c r="P73" s="115"/>
    </row>
    <row r="74" spans="1:16" ht="15" thickBot="1" x14ac:dyDescent="0.4">
      <c r="A74" s="139" t="s">
        <v>77</v>
      </c>
      <c r="B74" s="140"/>
      <c r="C74" s="140"/>
      <c r="D74" s="140"/>
      <c r="E74" s="140"/>
      <c r="F74" s="140"/>
      <c r="G74" s="141"/>
      <c r="H74" s="115"/>
      <c r="I74" s="113"/>
      <c r="J74" s="113"/>
      <c r="K74" s="113"/>
      <c r="L74" s="113"/>
      <c r="M74" s="113"/>
      <c r="N74" s="113"/>
      <c r="O74" s="115"/>
      <c r="P74" s="115"/>
    </row>
    <row r="75" spans="1:16" ht="15" thickBot="1" x14ac:dyDescent="0.4">
      <c r="A75" s="127" t="s">
        <v>78</v>
      </c>
      <c r="B75" s="142"/>
      <c r="C75" s="143">
        <f>(1964.16*C80)</f>
        <v>7856.64</v>
      </c>
      <c r="D75" s="144"/>
      <c r="E75" s="144"/>
      <c r="F75" s="144"/>
      <c r="G75" s="145"/>
      <c r="H75" s="115"/>
      <c r="I75" s="113"/>
      <c r="J75" s="113"/>
      <c r="K75" s="113"/>
      <c r="L75" s="113"/>
      <c r="M75" s="113"/>
      <c r="N75" s="113"/>
      <c r="O75" s="115"/>
      <c r="P75" s="115"/>
    </row>
    <row r="76" spans="1:16" ht="15" thickBot="1" x14ac:dyDescent="0.4">
      <c r="A76" s="146" t="s">
        <v>79</v>
      </c>
      <c r="B76" s="147"/>
      <c r="C76" s="143">
        <f>(303.6*C80)</f>
        <v>1214.4000000000001</v>
      </c>
      <c r="D76" s="144"/>
      <c r="E76" s="144"/>
      <c r="F76" s="144"/>
      <c r="G76" s="145"/>
      <c r="H76" s="115"/>
      <c r="I76" s="113"/>
      <c r="J76" s="113"/>
      <c r="K76" s="113"/>
      <c r="L76" s="113"/>
      <c r="M76" s="113"/>
      <c r="N76" s="113"/>
      <c r="O76" s="115"/>
      <c r="P76" s="115"/>
    </row>
    <row r="77" spans="1:16" ht="15" thickBot="1" x14ac:dyDescent="0.4">
      <c r="A77" s="127" t="s">
        <v>80</v>
      </c>
      <c r="B77" s="142"/>
      <c r="C77" s="127" t="s">
        <v>81</v>
      </c>
      <c r="D77" s="142"/>
      <c r="E77" s="142"/>
      <c r="F77" s="142"/>
      <c r="G77" s="128"/>
      <c r="H77" s="115"/>
      <c r="I77" s="113"/>
      <c r="J77" s="113"/>
      <c r="K77" s="113"/>
      <c r="L77" s="113"/>
      <c r="M77" s="113"/>
      <c r="N77" s="113"/>
      <c r="O77" s="115"/>
      <c r="P77" s="115"/>
    </row>
    <row r="78" spans="1:16" ht="15" thickBot="1" x14ac:dyDescent="0.4">
      <c r="A78" s="62" t="s">
        <v>82</v>
      </c>
      <c r="B78" s="72"/>
      <c r="C78" s="127" t="s">
        <v>83</v>
      </c>
      <c r="D78" s="142"/>
      <c r="E78" s="142"/>
      <c r="F78" s="142"/>
      <c r="G78" s="128"/>
      <c r="H78" s="115"/>
      <c r="I78" s="113"/>
      <c r="J78" s="113"/>
      <c r="K78" s="113"/>
      <c r="L78" s="113"/>
      <c r="M78" s="113"/>
      <c r="N78" s="113"/>
      <c r="O78" s="115"/>
      <c r="P78" s="115"/>
    </row>
    <row r="79" spans="1:16" ht="15" thickBot="1" x14ac:dyDescent="0.4">
      <c r="A79" s="62" t="s">
        <v>84</v>
      </c>
      <c r="B79" s="72"/>
      <c r="C79" s="167" t="s">
        <v>85</v>
      </c>
      <c r="D79" s="168"/>
      <c r="E79" s="168"/>
      <c r="F79" s="168"/>
      <c r="G79" s="169"/>
      <c r="H79" s="115"/>
      <c r="I79" s="113"/>
      <c r="J79" s="113"/>
      <c r="K79" s="113"/>
      <c r="L79" s="113"/>
      <c r="M79" s="113"/>
      <c r="N79" s="113"/>
      <c r="O79" s="115"/>
      <c r="P79" s="115"/>
    </row>
    <row r="80" spans="1:16" ht="15" thickBot="1" x14ac:dyDescent="0.4">
      <c r="A80" s="62" t="s">
        <v>86</v>
      </c>
      <c r="B80" s="72"/>
      <c r="C80" s="51">
        <v>4</v>
      </c>
      <c r="D80" s="28"/>
      <c r="E80" s="28"/>
      <c r="F80" s="37"/>
      <c r="G80" s="31"/>
      <c r="H80" s="115"/>
      <c r="I80" s="113"/>
      <c r="J80" s="113"/>
      <c r="K80" s="113"/>
      <c r="L80" s="113"/>
      <c r="M80" s="113"/>
      <c r="N80" s="113"/>
      <c r="O80" s="115"/>
      <c r="P80" s="115"/>
    </row>
    <row r="81" spans="1:16" ht="15" thickBot="1" x14ac:dyDescent="0.4">
      <c r="A81" s="170" t="s">
        <v>87</v>
      </c>
      <c r="B81" s="171"/>
      <c r="C81" s="171"/>
      <c r="D81" s="171"/>
      <c r="E81" s="171"/>
      <c r="F81" s="171"/>
      <c r="G81" s="172"/>
      <c r="H81" s="115"/>
      <c r="I81" s="113"/>
      <c r="J81" s="113"/>
      <c r="K81" s="113"/>
      <c r="L81" s="113"/>
      <c r="M81" s="113"/>
      <c r="N81" s="113"/>
      <c r="O81" s="115"/>
      <c r="P81" s="115"/>
    </row>
    <row r="82" spans="1:16" ht="15" thickBot="1" x14ac:dyDescent="0.4">
      <c r="A82" s="157" t="s">
        <v>88</v>
      </c>
      <c r="B82" s="158"/>
      <c r="C82" s="159">
        <f xml:space="preserve"> C75*20%</f>
        <v>1571.3280000000002</v>
      </c>
      <c r="D82" s="160"/>
      <c r="E82" s="160"/>
      <c r="F82" s="160"/>
      <c r="G82" s="161"/>
      <c r="H82" s="115"/>
      <c r="I82" s="113"/>
      <c r="J82" s="113"/>
      <c r="K82" s="113"/>
      <c r="L82" s="113"/>
      <c r="M82" s="113"/>
      <c r="N82" s="113"/>
      <c r="O82" s="115"/>
      <c r="P82" s="115"/>
    </row>
    <row r="83" spans="1:16" ht="15" thickBot="1" x14ac:dyDescent="0.4">
      <c r="A83" s="152" t="s">
        <v>89</v>
      </c>
      <c r="B83" s="153"/>
      <c r="C83" s="154">
        <f xml:space="preserve"> C75*8%</f>
        <v>628.53120000000001</v>
      </c>
      <c r="D83" s="155"/>
      <c r="E83" s="155"/>
      <c r="F83" s="155"/>
      <c r="G83" s="156"/>
      <c r="H83" s="115"/>
      <c r="I83" s="113"/>
      <c r="J83" s="113"/>
      <c r="K83" s="113"/>
      <c r="L83" s="113"/>
      <c r="M83" s="113"/>
      <c r="N83" s="113"/>
      <c r="O83" s="115"/>
      <c r="P83" s="115"/>
    </row>
    <row r="84" spans="1:16" ht="15" thickBot="1" x14ac:dyDescent="0.4">
      <c r="A84" s="157" t="s">
        <v>90</v>
      </c>
      <c r="B84" s="158"/>
      <c r="C84" s="159">
        <f xml:space="preserve"> C75*3%</f>
        <v>235.69919999999999</v>
      </c>
      <c r="D84" s="160"/>
      <c r="E84" s="160"/>
      <c r="F84" s="160"/>
      <c r="G84" s="161"/>
      <c r="H84" s="115"/>
      <c r="I84" s="113"/>
      <c r="J84" s="113"/>
      <c r="K84" s="113"/>
      <c r="L84" s="113"/>
      <c r="M84" s="113"/>
      <c r="N84" s="113"/>
      <c r="O84" s="115"/>
      <c r="P84" s="115"/>
    </row>
    <row r="85" spans="1:16" ht="15" thickBot="1" x14ac:dyDescent="0.4">
      <c r="A85" s="162" t="s">
        <v>91</v>
      </c>
      <c r="B85" s="163"/>
      <c r="C85" s="164">
        <f>SUM(C82:C84)</f>
        <v>2435.5584000000003</v>
      </c>
      <c r="D85" s="165"/>
      <c r="E85" s="165"/>
      <c r="F85" s="165"/>
      <c r="G85" s="166"/>
      <c r="H85" s="115"/>
      <c r="I85" s="113"/>
      <c r="J85" s="113"/>
      <c r="K85" s="113"/>
      <c r="L85" s="113"/>
      <c r="M85" s="113"/>
      <c r="N85" s="113"/>
      <c r="O85" s="115"/>
      <c r="P85" s="115"/>
    </row>
    <row r="86" spans="1:16" ht="15" thickBot="1" x14ac:dyDescent="0.4">
      <c r="A86" s="175" t="s">
        <v>92</v>
      </c>
      <c r="B86" s="176"/>
      <c r="C86" s="176"/>
      <c r="D86" s="176"/>
      <c r="E86" s="176"/>
      <c r="F86" s="176"/>
      <c r="G86" s="177"/>
      <c r="H86" s="115"/>
      <c r="I86" s="113"/>
      <c r="J86" s="113"/>
      <c r="K86" s="113"/>
      <c r="L86" s="113"/>
      <c r="M86" s="113"/>
      <c r="N86" s="113"/>
      <c r="O86" s="115"/>
      <c r="P86" s="115"/>
    </row>
    <row r="87" spans="1:16" ht="15" thickBot="1" x14ac:dyDescent="0.4">
      <c r="A87" s="127" t="s">
        <v>93</v>
      </c>
      <c r="B87" s="128"/>
      <c r="C87" s="143">
        <f>C75*8.33%</f>
        <v>654.45811200000003</v>
      </c>
      <c r="D87" s="142"/>
      <c r="E87" s="142"/>
      <c r="F87" s="142"/>
      <c r="G87" s="128"/>
      <c r="H87" s="115"/>
      <c r="I87" s="113"/>
      <c r="J87" s="113"/>
      <c r="K87" s="113"/>
      <c r="L87" s="113"/>
      <c r="M87" s="113"/>
      <c r="N87" s="113"/>
      <c r="O87" s="115"/>
      <c r="P87" s="115"/>
    </row>
    <row r="88" spans="1:16" ht="15" thickBot="1" x14ac:dyDescent="0.4">
      <c r="A88" s="127" t="s">
        <v>94</v>
      </c>
      <c r="B88" s="128"/>
      <c r="C88" s="143">
        <f>C75*8.33%</f>
        <v>654.45811200000003</v>
      </c>
      <c r="D88" s="142"/>
      <c r="E88" s="142"/>
      <c r="F88" s="142"/>
      <c r="G88" s="128"/>
      <c r="H88" s="115"/>
      <c r="I88" s="113"/>
      <c r="J88" s="113"/>
      <c r="K88" s="113"/>
      <c r="L88" s="113"/>
      <c r="M88" s="113"/>
      <c r="N88" s="113"/>
      <c r="O88" s="115"/>
      <c r="P88" s="115"/>
    </row>
    <row r="89" spans="1:16" ht="15" thickBot="1" x14ac:dyDescent="0.4">
      <c r="A89" s="173" t="s">
        <v>95</v>
      </c>
      <c r="B89" s="174"/>
      <c r="C89" s="143">
        <f>C75*2.73%</f>
        <v>214.48627200000001</v>
      </c>
      <c r="D89" s="142"/>
      <c r="E89" s="142"/>
      <c r="F89" s="142"/>
      <c r="G89" s="128"/>
      <c r="H89" s="115"/>
      <c r="I89" s="113"/>
      <c r="J89" s="113"/>
      <c r="K89" s="113"/>
      <c r="L89" s="113"/>
      <c r="M89" s="113"/>
      <c r="N89" s="113"/>
      <c r="O89" s="115"/>
      <c r="P89" s="115"/>
    </row>
    <row r="90" spans="1:16" ht="15" thickBot="1" x14ac:dyDescent="0.4">
      <c r="A90" s="173" t="s">
        <v>96</v>
      </c>
      <c r="B90" s="174"/>
      <c r="C90" s="143">
        <f>C75*1.66%*C80</f>
        <v>521.68089600000008</v>
      </c>
      <c r="D90" s="142"/>
      <c r="E90" s="142"/>
      <c r="F90" s="142"/>
      <c r="G90" s="128"/>
      <c r="H90" s="115"/>
      <c r="I90" s="113"/>
      <c r="J90" s="113"/>
      <c r="K90" s="113"/>
      <c r="L90" s="113"/>
      <c r="M90" s="113"/>
      <c r="N90" s="113"/>
      <c r="O90" s="115"/>
      <c r="P90" s="115"/>
    </row>
    <row r="91" spans="1:16" ht="15" thickBot="1" x14ac:dyDescent="0.4">
      <c r="A91" s="173" t="s">
        <v>97</v>
      </c>
      <c r="B91" s="174"/>
      <c r="C91" s="143">
        <f>C75*0.1%</f>
        <v>7.8566400000000005</v>
      </c>
      <c r="D91" s="142"/>
      <c r="E91" s="142"/>
      <c r="F91" s="142"/>
      <c r="G91" s="128"/>
      <c r="H91" s="115"/>
      <c r="I91" s="113"/>
      <c r="J91" s="113"/>
      <c r="K91" s="113"/>
      <c r="L91" s="113"/>
      <c r="M91" s="113"/>
      <c r="N91" s="113"/>
      <c r="O91" s="115"/>
      <c r="P91" s="115"/>
    </row>
    <row r="92" spans="1:16" ht="15" thickBot="1" x14ac:dyDescent="0.4">
      <c r="A92" s="173" t="s">
        <v>98</v>
      </c>
      <c r="B92" s="174"/>
      <c r="C92" s="143">
        <f>C75*0.28%</f>
        <v>21.998592000000006</v>
      </c>
      <c r="D92" s="142"/>
      <c r="E92" s="142"/>
      <c r="F92" s="142"/>
      <c r="G92" s="128"/>
      <c r="H92" s="115"/>
      <c r="I92" s="113"/>
      <c r="J92" s="113"/>
      <c r="K92" s="113"/>
      <c r="L92" s="113"/>
      <c r="M92" s="113"/>
      <c r="N92" s="113"/>
      <c r="O92" s="115"/>
      <c r="P92" s="115"/>
    </row>
    <row r="93" spans="1:16" ht="15" thickBot="1" x14ac:dyDescent="0.4">
      <c r="A93" s="173" t="s">
        <v>99</v>
      </c>
      <c r="B93" s="174"/>
      <c r="C93" s="143">
        <f>C75*0.03%*C80</f>
        <v>9.4279679999999999</v>
      </c>
      <c r="D93" s="142"/>
      <c r="E93" s="142"/>
      <c r="F93" s="142"/>
      <c r="G93" s="128"/>
      <c r="H93" s="115"/>
      <c r="I93" s="113"/>
      <c r="J93" s="113"/>
      <c r="K93" s="113"/>
      <c r="L93" s="113"/>
      <c r="M93" s="113"/>
      <c r="N93" s="113"/>
      <c r="O93" s="115"/>
      <c r="P93" s="115"/>
    </row>
    <row r="94" spans="1:16" ht="15" thickBot="1" x14ac:dyDescent="0.4">
      <c r="A94" s="181" t="s">
        <v>100</v>
      </c>
      <c r="B94" s="182"/>
      <c r="C94" s="183">
        <f>SUM(C87:G93)</f>
        <v>2084.3665920000003</v>
      </c>
      <c r="D94" s="133"/>
      <c r="E94" s="133"/>
      <c r="F94" s="133"/>
      <c r="G94" s="184"/>
      <c r="H94" s="115"/>
      <c r="I94" s="113"/>
      <c r="J94" s="113"/>
      <c r="K94" s="113"/>
      <c r="L94" s="113"/>
      <c r="M94" s="113"/>
      <c r="N94" s="113"/>
      <c r="O94" s="115"/>
      <c r="P94" s="115"/>
    </row>
    <row r="95" spans="1:16" ht="15" thickBot="1" x14ac:dyDescent="0.4">
      <c r="A95" s="175" t="s">
        <v>101</v>
      </c>
      <c r="B95" s="176"/>
      <c r="C95" s="176"/>
      <c r="D95" s="176"/>
      <c r="E95" s="176"/>
      <c r="F95" s="176"/>
      <c r="G95" s="177"/>
      <c r="H95" s="115"/>
      <c r="I95" s="113"/>
      <c r="J95" s="113"/>
      <c r="K95" s="113"/>
      <c r="L95" s="113"/>
      <c r="M95" s="113"/>
      <c r="N95" s="113"/>
      <c r="O95" s="115"/>
      <c r="P95" s="115"/>
    </row>
    <row r="96" spans="1:16" ht="15" thickBot="1" x14ac:dyDescent="0.4">
      <c r="A96" s="157" t="s">
        <v>102</v>
      </c>
      <c r="B96" s="158"/>
      <c r="C96" s="143">
        <f>C75*0.69%</f>
        <v>54.210816000000001</v>
      </c>
      <c r="D96" s="144"/>
      <c r="E96" s="144"/>
      <c r="F96" s="144"/>
      <c r="G96" s="145"/>
      <c r="H96" s="115"/>
      <c r="I96" s="113"/>
      <c r="J96" s="113"/>
      <c r="K96" s="113"/>
      <c r="L96" s="113"/>
      <c r="M96" s="113"/>
      <c r="N96" s="113"/>
      <c r="O96" s="115"/>
      <c r="P96" s="115"/>
    </row>
    <row r="97" spans="1:16" ht="15" thickBot="1" x14ac:dyDescent="0.4">
      <c r="A97" s="152" t="s">
        <v>103</v>
      </c>
      <c r="B97" s="153"/>
      <c r="C97" s="178">
        <f>C75*0.08%</f>
        <v>6.2853120000000002</v>
      </c>
      <c r="D97" s="179"/>
      <c r="E97" s="179"/>
      <c r="F97" s="179"/>
      <c r="G97" s="180"/>
      <c r="H97" s="115"/>
      <c r="I97" s="113"/>
      <c r="J97" s="113"/>
      <c r="K97" s="113"/>
      <c r="L97" s="113"/>
      <c r="M97" s="113"/>
      <c r="N97" s="113"/>
      <c r="O97" s="115"/>
      <c r="P97" s="115"/>
    </row>
    <row r="98" spans="1:16" ht="15" thickBot="1" x14ac:dyDescent="0.4">
      <c r="A98" s="157" t="s">
        <v>104</v>
      </c>
      <c r="B98" s="158"/>
      <c r="C98" s="143">
        <f>C75*3%</f>
        <v>235.69919999999999</v>
      </c>
      <c r="D98" s="144"/>
      <c r="E98" s="144"/>
      <c r="F98" s="144"/>
      <c r="G98" s="145"/>
      <c r="H98" s="115"/>
      <c r="I98" s="113"/>
      <c r="J98" s="113"/>
      <c r="K98" s="113"/>
      <c r="L98" s="113"/>
      <c r="M98" s="113"/>
      <c r="N98" s="113"/>
      <c r="O98" s="115"/>
      <c r="P98" s="115"/>
    </row>
    <row r="99" spans="1:16" ht="15" thickBot="1" x14ac:dyDescent="0.4">
      <c r="A99" s="157" t="s">
        <v>105</v>
      </c>
      <c r="B99" s="158"/>
      <c r="C99" s="143">
        <f>C75*0.8%</f>
        <v>62.853120000000004</v>
      </c>
      <c r="D99" s="144"/>
      <c r="E99" s="144"/>
      <c r="F99" s="144"/>
      <c r="G99" s="145"/>
      <c r="H99" s="115"/>
      <c r="I99" s="113"/>
      <c r="J99" s="113"/>
      <c r="K99" s="113"/>
      <c r="L99" s="113"/>
      <c r="M99" s="113"/>
      <c r="N99" s="113"/>
      <c r="O99" s="115"/>
      <c r="P99" s="115"/>
    </row>
    <row r="100" spans="1:16" ht="15" thickBot="1" x14ac:dyDescent="0.4">
      <c r="A100" s="191" t="s">
        <v>106</v>
      </c>
      <c r="B100" s="192"/>
      <c r="C100" s="193">
        <f>SUM(C96:G99)</f>
        <v>359.04844800000001</v>
      </c>
      <c r="D100" s="194"/>
      <c r="E100" s="194"/>
      <c r="F100" s="194"/>
      <c r="G100" s="195"/>
      <c r="H100" s="115"/>
      <c r="I100" s="113"/>
      <c r="J100" s="113"/>
      <c r="K100" s="113"/>
      <c r="L100" s="113"/>
      <c r="M100" s="113"/>
      <c r="N100" s="113"/>
      <c r="O100" s="115"/>
      <c r="P100" s="115"/>
    </row>
    <row r="101" spans="1:16" ht="15" thickBot="1" x14ac:dyDescent="0.4">
      <c r="A101" s="175" t="s">
        <v>107</v>
      </c>
      <c r="B101" s="176"/>
      <c r="C101" s="176"/>
      <c r="D101" s="176"/>
      <c r="E101" s="176"/>
      <c r="F101" s="176"/>
      <c r="G101" s="177"/>
      <c r="H101" s="115"/>
      <c r="I101" s="113"/>
      <c r="J101" s="113"/>
      <c r="K101" s="113"/>
      <c r="L101" s="113"/>
      <c r="M101" s="113"/>
      <c r="N101" s="113"/>
      <c r="O101" s="115"/>
      <c r="P101" s="115"/>
    </row>
    <row r="102" spans="1:16" ht="15" thickBot="1" x14ac:dyDescent="0.4">
      <c r="A102" s="157" t="s">
        <v>108</v>
      </c>
      <c r="B102" s="158"/>
      <c r="C102" s="143">
        <f>C75*7.91%</f>
        <v>621.46022400000004</v>
      </c>
      <c r="D102" s="144"/>
      <c r="E102" s="144"/>
      <c r="F102" s="144"/>
      <c r="G102" s="145"/>
      <c r="H102" s="115"/>
      <c r="I102" s="113"/>
      <c r="J102" s="113"/>
      <c r="K102" s="113"/>
      <c r="L102" s="113"/>
      <c r="M102" s="113"/>
      <c r="N102" s="113"/>
      <c r="O102" s="115"/>
      <c r="P102" s="115"/>
    </row>
    <row r="103" spans="1:16" ht="15" thickBot="1" x14ac:dyDescent="0.4">
      <c r="A103" s="157" t="s">
        <v>109</v>
      </c>
      <c r="B103" s="158"/>
      <c r="C103" s="143">
        <f>C75*0.01%</f>
        <v>0.78566400000000003</v>
      </c>
      <c r="D103" s="144"/>
      <c r="E103" s="144"/>
      <c r="F103" s="144"/>
      <c r="G103" s="145"/>
      <c r="H103" s="115"/>
      <c r="I103" s="113"/>
      <c r="J103" s="113"/>
      <c r="K103" s="113"/>
      <c r="L103" s="113"/>
      <c r="M103" s="113"/>
      <c r="N103" s="113"/>
      <c r="O103" s="115"/>
      <c r="P103" s="115"/>
    </row>
    <row r="104" spans="1:16" ht="15" thickBot="1" x14ac:dyDescent="0.4">
      <c r="A104" s="157" t="s">
        <v>110</v>
      </c>
      <c r="B104" s="158"/>
      <c r="C104" s="143">
        <f>C75*0.01%</f>
        <v>0.78566400000000003</v>
      </c>
      <c r="D104" s="144"/>
      <c r="E104" s="144"/>
      <c r="F104" s="144"/>
      <c r="G104" s="145"/>
      <c r="H104" s="115"/>
      <c r="I104" s="113"/>
      <c r="J104" s="113"/>
      <c r="K104" s="113"/>
      <c r="L104" s="113"/>
      <c r="M104" s="113"/>
      <c r="N104" s="113"/>
      <c r="O104" s="115"/>
      <c r="P104" s="115"/>
    </row>
    <row r="105" spans="1:16" ht="15" thickBot="1" x14ac:dyDescent="0.4">
      <c r="A105" s="181" t="s">
        <v>111</v>
      </c>
      <c r="B105" s="185"/>
      <c r="C105" s="143">
        <f>SUM(C102:G104)</f>
        <v>623.03155200000003</v>
      </c>
      <c r="D105" s="144"/>
      <c r="E105" s="144"/>
      <c r="F105" s="144"/>
      <c r="G105" s="145"/>
      <c r="H105" s="115"/>
      <c r="I105" s="113"/>
      <c r="J105" s="113"/>
      <c r="K105" s="113"/>
      <c r="L105" s="113"/>
      <c r="M105" s="113"/>
      <c r="N105" s="113"/>
      <c r="O105" s="115"/>
      <c r="P105" s="115"/>
    </row>
    <row r="106" spans="1:16" ht="15" thickBot="1" x14ac:dyDescent="0.4">
      <c r="A106" s="186" t="s">
        <v>112</v>
      </c>
      <c r="B106" s="187"/>
      <c r="C106" s="188">
        <f>C85+C94+C100+C105</f>
        <v>5502.0049920000001</v>
      </c>
      <c r="D106" s="189"/>
      <c r="E106" s="189"/>
      <c r="F106" s="189"/>
      <c r="G106" s="190"/>
      <c r="H106" s="115"/>
      <c r="I106" s="113"/>
      <c r="J106" s="113"/>
      <c r="K106" s="113"/>
      <c r="L106" s="113"/>
      <c r="M106" s="113"/>
      <c r="N106" s="113"/>
      <c r="O106" s="115"/>
      <c r="P106" s="115"/>
    </row>
    <row r="107" spans="1:16" ht="15" thickBot="1" x14ac:dyDescent="0.4">
      <c r="A107" s="199" t="s">
        <v>113</v>
      </c>
      <c r="B107" s="200"/>
      <c r="C107" s="188">
        <f>C75 +C106</f>
        <v>13358.644992000001</v>
      </c>
      <c r="D107" s="189"/>
      <c r="E107" s="189"/>
      <c r="F107" s="189"/>
      <c r="G107" s="190"/>
      <c r="H107" s="115"/>
      <c r="I107" s="113"/>
      <c r="J107" s="113"/>
      <c r="K107" s="113"/>
      <c r="L107" s="113"/>
      <c r="M107" s="113"/>
      <c r="N107" s="113"/>
      <c r="O107" s="115"/>
      <c r="P107" s="115"/>
    </row>
    <row r="108" spans="1:16" ht="15" thickBot="1" x14ac:dyDescent="0.4">
      <c r="A108" s="186" t="s">
        <v>114</v>
      </c>
      <c r="B108" s="187"/>
      <c r="C108" s="188">
        <f>C107/220</f>
        <v>60.72111360000001</v>
      </c>
      <c r="D108" s="201"/>
      <c r="E108" s="201"/>
      <c r="F108" s="201"/>
      <c r="G108" s="202"/>
      <c r="H108" s="115"/>
      <c r="I108" s="113"/>
      <c r="J108" s="113"/>
      <c r="K108" s="113"/>
      <c r="L108" s="113"/>
      <c r="M108" s="113"/>
      <c r="N108" s="113"/>
      <c r="O108" s="115"/>
      <c r="P108" s="115"/>
    </row>
    <row r="109" spans="1:16" ht="15" thickBot="1" x14ac:dyDescent="0.4">
      <c r="A109" s="186" t="s">
        <v>115</v>
      </c>
      <c r="B109" s="187"/>
      <c r="C109" s="203">
        <v>997.1</v>
      </c>
      <c r="D109" s="204"/>
      <c r="E109" s="204"/>
      <c r="F109" s="204"/>
      <c r="G109" s="205"/>
      <c r="H109" s="115" t="s">
        <v>195</v>
      </c>
      <c r="I109" s="113"/>
      <c r="J109" s="113"/>
      <c r="K109" s="113"/>
      <c r="L109" s="113"/>
      <c r="M109" s="113"/>
      <c r="N109" s="113"/>
      <c r="O109" s="115"/>
      <c r="P109" s="115"/>
    </row>
    <row r="110" spans="1:16" ht="15" thickBot="1" x14ac:dyDescent="0.4">
      <c r="A110" s="138"/>
      <c r="B110" s="138"/>
      <c r="C110" s="196"/>
      <c r="D110" s="196"/>
      <c r="E110" s="196"/>
      <c r="F110" s="196"/>
      <c r="G110" s="196"/>
      <c r="H110" s="115"/>
      <c r="I110" s="113"/>
      <c r="J110" s="113"/>
      <c r="K110" s="113"/>
      <c r="L110" s="113"/>
      <c r="M110" s="113"/>
      <c r="N110" s="113"/>
      <c r="O110" s="115"/>
      <c r="P110" s="115"/>
    </row>
    <row r="111" spans="1:16" ht="15" thickBot="1" x14ac:dyDescent="0.4">
      <c r="A111" s="197" t="s">
        <v>116</v>
      </c>
      <c r="B111" s="198"/>
      <c r="C111" s="74"/>
      <c r="D111" s="74"/>
      <c r="E111" s="74"/>
      <c r="F111" s="74"/>
      <c r="G111" s="75">
        <f>C108*C109</f>
        <v>60545.022370560007</v>
      </c>
      <c r="H111" s="115"/>
      <c r="I111" s="113"/>
      <c r="J111" s="113"/>
      <c r="K111" s="113"/>
      <c r="L111" s="113"/>
      <c r="M111" s="113"/>
      <c r="N111" s="113"/>
      <c r="O111" s="115"/>
      <c r="P111" s="115"/>
    </row>
    <row r="112" spans="1:16" x14ac:dyDescent="0.35">
      <c r="H112" s="115"/>
      <c r="I112" s="113"/>
      <c r="J112" s="113"/>
      <c r="K112" s="113"/>
      <c r="L112" s="113"/>
      <c r="M112" s="113"/>
      <c r="N112" s="113"/>
      <c r="O112" s="115"/>
      <c r="P112" s="115"/>
    </row>
    <row r="113" spans="1:16" x14ac:dyDescent="0.35">
      <c r="A113" s="138" t="s">
        <v>117</v>
      </c>
      <c r="B113" s="138"/>
      <c r="C113" s="14"/>
      <c r="D113" s="14"/>
      <c r="E113" s="14"/>
      <c r="F113" s="14"/>
      <c r="G113" s="4"/>
      <c r="H113" s="115"/>
      <c r="I113" s="113"/>
      <c r="J113" s="113"/>
      <c r="K113" s="113"/>
      <c r="L113" s="113"/>
      <c r="M113" s="113"/>
      <c r="N113" s="113"/>
      <c r="O113" s="115"/>
      <c r="P113" s="115"/>
    </row>
    <row r="114" spans="1:16" ht="15" thickBot="1" x14ac:dyDescent="0.4">
      <c r="H114" s="115"/>
      <c r="I114" s="113"/>
      <c r="J114" s="113"/>
      <c r="K114" s="113"/>
      <c r="L114" s="113"/>
      <c r="M114" s="113"/>
      <c r="N114" s="113"/>
      <c r="O114" s="115"/>
      <c r="P114" s="115"/>
    </row>
    <row r="115" spans="1:16" ht="15" thickBot="1" x14ac:dyDescent="0.4">
      <c r="A115" s="117" t="s">
        <v>77</v>
      </c>
      <c r="B115" s="118"/>
      <c r="C115" s="118"/>
      <c r="D115" s="118"/>
      <c r="E115" s="118"/>
      <c r="F115" s="118"/>
      <c r="G115" s="119"/>
      <c r="H115" s="115"/>
      <c r="I115" s="113"/>
      <c r="J115" s="113"/>
      <c r="K115" s="113"/>
      <c r="L115" s="113"/>
      <c r="M115" s="113"/>
      <c r="N115" s="113"/>
      <c r="O115" s="115"/>
      <c r="P115" s="115"/>
    </row>
    <row r="116" spans="1:16" ht="15" thickBot="1" x14ac:dyDescent="0.4">
      <c r="A116" s="127" t="s">
        <v>78</v>
      </c>
      <c r="B116" s="128"/>
      <c r="C116" s="143">
        <v>2640</v>
      </c>
      <c r="D116" s="144"/>
      <c r="E116" s="144"/>
      <c r="F116" s="144"/>
      <c r="G116" s="145"/>
      <c r="H116" s="115"/>
      <c r="I116" s="113"/>
      <c r="J116" s="113"/>
      <c r="K116" s="113"/>
      <c r="L116" s="113"/>
      <c r="M116" s="113"/>
      <c r="N116" s="113"/>
      <c r="O116" s="115"/>
      <c r="P116" s="115"/>
    </row>
    <row r="117" spans="1:16" ht="15" thickBot="1" x14ac:dyDescent="0.4">
      <c r="A117" s="127" t="s">
        <v>79</v>
      </c>
      <c r="B117" s="128"/>
      <c r="C117" s="143">
        <v>303.60000000000002</v>
      </c>
      <c r="D117" s="144"/>
      <c r="E117" s="144"/>
      <c r="F117" s="144"/>
      <c r="G117" s="145"/>
      <c r="H117" s="115"/>
      <c r="I117" s="113"/>
      <c r="J117" s="113"/>
      <c r="K117" s="113"/>
      <c r="L117" s="113"/>
      <c r="M117" s="113"/>
      <c r="N117" s="113"/>
      <c r="O117" s="115"/>
      <c r="P117" s="115"/>
    </row>
    <row r="118" spans="1:16" ht="15" thickBot="1" x14ac:dyDescent="0.4">
      <c r="A118" s="127" t="s">
        <v>80</v>
      </c>
      <c r="B118" s="128"/>
      <c r="C118" s="127" t="s">
        <v>81</v>
      </c>
      <c r="D118" s="142"/>
      <c r="E118" s="142"/>
      <c r="F118" s="142"/>
      <c r="G118" s="128"/>
      <c r="H118" s="115"/>
      <c r="I118" s="113"/>
      <c r="J118" s="113"/>
      <c r="K118" s="113"/>
      <c r="L118" s="113"/>
      <c r="M118" s="113"/>
      <c r="N118" s="113"/>
      <c r="O118" s="115"/>
      <c r="P118" s="115"/>
    </row>
    <row r="119" spans="1:16" ht="15" thickBot="1" x14ac:dyDescent="0.4">
      <c r="A119" s="62" t="s">
        <v>82</v>
      </c>
      <c r="B119" s="63"/>
      <c r="C119" s="127" t="s">
        <v>83</v>
      </c>
      <c r="D119" s="142"/>
      <c r="E119" s="142"/>
      <c r="F119" s="142"/>
      <c r="G119" s="128"/>
      <c r="H119" s="115"/>
      <c r="I119" s="113"/>
      <c r="J119" s="113"/>
      <c r="K119" s="113"/>
      <c r="L119" s="113"/>
      <c r="M119" s="113"/>
      <c r="N119" s="113"/>
      <c r="O119" s="115"/>
      <c r="P119" s="115"/>
    </row>
    <row r="120" spans="1:16" ht="15" thickBot="1" x14ac:dyDescent="0.4">
      <c r="A120" s="62" t="s">
        <v>84</v>
      </c>
      <c r="B120" s="63"/>
      <c r="C120" s="167" t="s">
        <v>85</v>
      </c>
      <c r="D120" s="168"/>
      <c r="E120" s="168"/>
      <c r="F120" s="168"/>
      <c r="G120" s="169"/>
      <c r="H120" s="115"/>
      <c r="I120" s="113"/>
      <c r="J120" s="113"/>
      <c r="K120" s="113"/>
      <c r="L120" s="113"/>
      <c r="M120" s="113"/>
      <c r="N120" s="113"/>
      <c r="O120" s="115"/>
      <c r="P120" s="115"/>
    </row>
    <row r="121" spans="1:16" ht="15" thickBot="1" x14ac:dyDescent="0.4">
      <c r="A121" s="62" t="s">
        <v>86</v>
      </c>
      <c r="B121" s="63"/>
      <c r="C121" s="51">
        <v>1</v>
      </c>
      <c r="D121" s="28"/>
      <c r="E121" s="28"/>
      <c r="F121" s="37"/>
      <c r="G121" s="31"/>
      <c r="H121" s="115"/>
      <c r="I121" s="113"/>
      <c r="J121" s="113"/>
      <c r="K121" s="113"/>
      <c r="L121" s="113"/>
      <c r="M121" s="113"/>
      <c r="N121" s="113"/>
      <c r="O121" s="115"/>
      <c r="P121" s="115"/>
    </row>
    <row r="122" spans="1:16" ht="15" thickBot="1" x14ac:dyDescent="0.4">
      <c r="A122" s="186" t="s">
        <v>118</v>
      </c>
      <c r="B122" s="206"/>
      <c r="C122" s="188">
        <f>C116+C117</f>
        <v>2943.6</v>
      </c>
      <c r="D122" s="189"/>
      <c r="E122" s="189"/>
      <c r="F122" s="189"/>
      <c r="G122" s="190"/>
      <c r="H122" s="115"/>
      <c r="I122" s="113"/>
      <c r="J122" s="113"/>
      <c r="K122" s="113"/>
      <c r="L122" s="113"/>
      <c r="M122" s="113"/>
      <c r="N122" s="113"/>
      <c r="O122" s="115"/>
      <c r="P122" s="115"/>
    </row>
    <row r="123" spans="1:16" ht="15" thickBot="1" x14ac:dyDescent="0.4">
      <c r="A123" s="186" t="s">
        <v>114</v>
      </c>
      <c r="B123" s="206"/>
      <c r="C123" s="188">
        <f>C122/220</f>
        <v>13.379999999999999</v>
      </c>
      <c r="D123" s="201"/>
      <c r="E123" s="201"/>
      <c r="F123" s="201"/>
      <c r="G123" s="202"/>
      <c r="H123" s="115"/>
      <c r="I123" s="113"/>
      <c r="J123" s="113"/>
      <c r="K123" s="113"/>
      <c r="L123" s="113"/>
      <c r="M123" s="113"/>
      <c r="N123" s="113"/>
      <c r="O123" s="115"/>
      <c r="P123" s="115"/>
    </row>
    <row r="124" spans="1:16" ht="15" thickBot="1" x14ac:dyDescent="0.4">
      <c r="A124" s="186" t="s">
        <v>115</v>
      </c>
      <c r="B124" s="206"/>
      <c r="C124" s="203">
        <v>997.1</v>
      </c>
      <c r="D124" s="204"/>
      <c r="E124" s="204"/>
      <c r="F124" s="204"/>
      <c r="G124" s="205"/>
      <c r="H124" s="115"/>
      <c r="I124" s="113"/>
      <c r="J124" s="113"/>
      <c r="K124" s="113"/>
      <c r="L124" s="113"/>
      <c r="M124" s="113"/>
      <c r="N124" s="113"/>
      <c r="O124" s="115"/>
      <c r="P124" s="115"/>
    </row>
    <row r="125" spans="1:16" ht="15" thickBot="1" x14ac:dyDescent="0.4">
      <c r="A125" s="138"/>
      <c r="B125" s="138"/>
      <c r="C125" s="196"/>
      <c r="D125" s="196"/>
      <c r="E125" s="196"/>
      <c r="F125" s="196"/>
      <c r="G125" s="196"/>
      <c r="H125" s="115"/>
      <c r="I125" s="115"/>
      <c r="J125" s="115"/>
      <c r="K125" s="115"/>
      <c r="L125" s="115"/>
      <c r="M125" s="115"/>
      <c r="N125" s="115"/>
      <c r="O125" s="115"/>
      <c r="P125" s="115"/>
    </row>
    <row r="126" spans="1:16" ht="15" thickBot="1" x14ac:dyDescent="0.4">
      <c r="A126" s="197" t="s">
        <v>119</v>
      </c>
      <c r="B126" s="198"/>
      <c r="C126" s="74"/>
      <c r="D126" s="74"/>
      <c r="E126" s="74"/>
      <c r="F126" s="74"/>
      <c r="G126" s="75">
        <f>C123*C124</f>
        <v>13341.197999999999</v>
      </c>
      <c r="H126" s="115"/>
      <c r="I126" s="115"/>
      <c r="J126" s="115"/>
      <c r="K126" s="115"/>
      <c r="L126" s="115"/>
      <c r="M126" s="115"/>
      <c r="N126" s="115"/>
      <c r="O126" s="115"/>
      <c r="P126" s="115"/>
    </row>
    <row r="127" spans="1:16" ht="15" thickBot="1" x14ac:dyDescent="0.4">
      <c r="H127" s="115"/>
      <c r="I127" s="115"/>
      <c r="J127" s="115"/>
      <c r="K127" s="115"/>
      <c r="L127" s="115"/>
      <c r="M127" s="115"/>
      <c r="N127" s="115"/>
      <c r="O127" s="115"/>
      <c r="P127" s="115"/>
    </row>
    <row r="128" spans="1:16" ht="15" thickBot="1" x14ac:dyDescent="0.4">
      <c r="A128" s="123" t="s">
        <v>120</v>
      </c>
      <c r="B128" s="124"/>
      <c r="C128" s="124"/>
      <c r="D128" s="124"/>
      <c r="E128" s="124"/>
      <c r="F128" s="124"/>
      <c r="G128" s="19"/>
      <c r="H128" s="115"/>
      <c r="I128" s="115"/>
      <c r="J128" s="115"/>
      <c r="K128" s="115"/>
      <c r="L128" s="115"/>
      <c r="M128" s="115"/>
      <c r="N128" s="115"/>
      <c r="O128" s="115"/>
      <c r="P128" s="115"/>
    </row>
    <row r="129" spans="1:16" ht="15" thickBot="1" x14ac:dyDescent="0.4">
      <c r="H129" s="115"/>
      <c r="I129" s="115"/>
      <c r="J129" s="115"/>
      <c r="K129" s="115"/>
      <c r="L129" s="115"/>
      <c r="M129" s="115"/>
      <c r="N129" s="115"/>
      <c r="O129" s="115"/>
      <c r="P129" s="115"/>
    </row>
    <row r="130" spans="1:16" ht="15" thickBot="1" x14ac:dyDescent="0.4">
      <c r="A130" s="211" t="s">
        <v>2</v>
      </c>
      <c r="B130" s="212"/>
      <c r="C130" s="213"/>
      <c r="D130" s="76" t="s">
        <v>121</v>
      </c>
      <c r="E130" s="35" t="s">
        <v>22</v>
      </c>
      <c r="F130" s="118" t="s">
        <v>122</v>
      </c>
      <c r="G130" s="119"/>
      <c r="H130" s="115"/>
      <c r="I130" s="115"/>
      <c r="J130" s="115"/>
      <c r="K130" s="115"/>
      <c r="L130" s="115"/>
      <c r="M130" s="115"/>
      <c r="N130" s="115"/>
      <c r="O130" s="115"/>
      <c r="P130" s="115"/>
    </row>
    <row r="131" spans="1:16" ht="15" thickBot="1" x14ac:dyDescent="0.4">
      <c r="A131" s="146" t="s">
        <v>123</v>
      </c>
      <c r="B131" s="147"/>
      <c r="C131" s="147"/>
      <c r="D131" s="77">
        <v>0.46</v>
      </c>
      <c r="E131" s="46">
        <v>28605</v>
      </c>
      <c r="F131" s="207">
        <f>D131*E131</f>
        <v>13158.300000000001</v>
      </c>
      <c r="G131" s="208"/>
      <c r="H131" s="115"/>
      <c r="I131" s="115"/>
      <c r="J131" s="115"/>
      <c r="K131" s="115"/>
      <c r="L131" s="115"/>
      <c r="M131" s="115"/>
      <c r="N131" s="115"/>
      <c r="O131" s="115"/>
      <c r="P131" s="115"/>
    </row>
    <row r="132" spans="1:16" ht="15" thickBot="1" x14ac:dyDescent="0.4">
      <c r="A132" s="127" t="s">
        <v>124</v>
      </c>
      <c r="B132" s="142"/>
      <c r="C132" s="142"/>
      <c r="D132" s="79">
        <v>12</v>
      </c>
      <c r="E132" s="27">
        <v>80</v>
      </c>
      <c r="F132" s="209">
        <f>D132*E132</f>
        <v>960</v>
      </c>
      <c r="G132" s="210"/>
      <c r="H132" s="115"/>
      <c r="I132" s="115"/>
      <c r="J132" s="115"/>
      <c r="K132" s="115"/>
      <c r="L132" s="115"/>
      <c r="M132" s="115"/>
      <c r="N132" s="115"/>
      <c r="O132" s="115"/>
      <c r="P132" s="115"/>
    </row>
    <row r="133" spans="1:16" ht="15" thickBot="1" x14ac:dyDescent="0.4">
      <c r="A133" s="146" t="s">
        <v>125</v>
      </c>
      <c r="B133" s="147"/>
      <c r="C133" s="147"/>
      <c r="D133" s="77">
        <v>0.12</v>
      </c>
      <c r="E133" s="46">
        <v>28605</v>
      </c>
      <c r="F133" s="207">
        <f>D133*E133</f>
        <v>3432.6</v>
      </c>
      <c r="G133" s="208"/>
      <c r="H133" s="115"/>
      <c r="I133" s="115"/>
      <c r="J133" s="115"/>
      <c r="K133" s="115"/>
      <c r="L133" s="115"/>
      <c r="M133" s="115"/>
      <c r="N133" s="115"/>
      <c r="O133" s="115"/>
      <c r="P133" s="115"/>
    </row>
    <row r="134" spans="1:16" ht="15" thickBot="1" x14ac:dyDescent="0.4">
      <c r="A134" s="127" t="s">
        <v>192</v>
      </c>
      <c r="B134" s="142"/>
      <c r="C134" s="142"/>
      <c r="D134" s="80">
        <v>75</v>
      </c>
      <c r="E134" s="27">
        <v>60</v>
      </c>
      <c r="F134" s="209">
        <f>D134*E134*C80</f>
        <v>18000</v>
      </c>
      <c r="G134" s="210"/>
      <c r="H134" s="115"/>
      <c r="I134" s="115"/>
      <c r="J134" s="115"/>
      <c r="K134" s="115"/>
      <c r="L134" s="115"/>
      <c r="M134" s="115"/>
      <c r="N134" s="115"/>
      <c r="O134" s="115"/>
      <c r="P134" s="115"/>
    </row>
    <row r="135" spans="1:16" ht="15" thickBot="1" x14ac:dyDescent="0.4">
      <c r="A135" s="127" t="s">
        <v>191</v>
      </c>
      <c r="B135" s="142"/>
      <c r="C135" s="142"/>
      <c r="D135" s="80">
        <v>25</v>
      </c>
      <c r="E135" s="27">
        <v>120</v>
      </c>
      <c r="F135" s="209">
        <f>D135*E135*C80</f>
        <v>12000</v>
      </c>
      <c r="G135" s="210"/>
      <c r="H135" s="115"/>
      <c r="I135" s="115"/>
      <c r="J135" s="115"/>
      <c r="K135" s="115"/>
      <c r="L135" s="115"/>
      <c r="M135" s="115"/>
      <c r="N135" s="115"/>
      <c r="O135" s="115"/>
      <c r="P135" s="115"/>
    </row>
    <row r="136" spans="1:16" ht="15" thickBot="1" x14ac:dyDescent="0.4">
      <c r="A136" s="73"/>
      <c r="B136" s="73"/>
      <c r="C136" s="73"/>
      <c r="D136" s="81"/>
      <c r="E136" s="12"/>
      <c r="F136" s="78"/>
      <c r="G136" s="78"/>
      <c r="H136" s="115"/>
      <c r="I136" s="115"/>
      <c r="J136" s="115"/>
      <c r="K136" s="115"/>
      <c r="L136" s="115"/>
      <c r="M136" s="115"/>
      <c r="N136" s="115"/>
      <c r="O136" s="115"/>
      <c r="P136" s="115"/>
    </row>
    <row r="137" spans="1:16" ht="15" thickBot="1" x14ac:dyDescent="0.4">
      <c r="A137" s="197" t="s">
        <v>126</v>
      </c>
      <c r="B137" s="198"/>
      <c r="C137" s="198"/>
      <c r="D137" s="82"/>
      <c r="E137" s="83"/>
      <c r="F137" s="83"/>
      <c r="G137" s="84">
        <f>F131+F132+F133+F134+F135</f>
        <v>47550.9</v>
      </c>
      <c r="H137" s="115"/>
      <c r="I137" s="115"/>
      <c r="J137" s="115"/>
      <c r="K137" s="115"/>
      <c r="L137" s="115"/>
      <c r="M137" s="115"/>
      <c r="N137" s="115"/>
      <c r="O137" s="115"/>
      <c r="P137" s="115"/>
    </row>
    <row r="138" spans="1:16" ht="15" thickBot="1" x14ac:dyDescent="0.4">
      <c r="H138" s="115"/>
      <c r="I138" s="115"/>
      <c r="J138" s="115"/>
      <c r="K138" s="115"/>
      <c r="L138" s="115"/>
      <c r="M138" s="115"/>
      <c r="N138" s="115"/>
      <c r="O138" s="115"/>
      <c r="P138" s="115"/>
    </row>
    <row r="139" spans="1:16" ht="15" thickBot="1" x14ac:dyDescent="0.4">
      <c r="A139" s="117" t="s">
        <v>127</v>
      </c>
      <c r="B139" s="118"/>
      <c r="C139" s="118"/>
      <c r="D139" s="118"/>
      <c r="E139" s="118"/>
      <c r="F139" s="118"/>
      <c r="G139" s="119"/>
      <c r="H139" s="115"/>
      <c r="I139" s="115"/>
      <c r="J139" s="115"/>
      <c r="K139" s="115"/>
      <c r="L139" s="115"/>
      <c r="M139" s="115"/>
      <c r="N139" s="115"/>
      <c r="O139" s="115"/>
      <c r="P139" s="115"/>
    </row>
    <row r="140" spans="1:16" ht="15" thickBot="1" x14ac:dyDescent="0.4">
      <c r="H140" s="115"/>
      <c r="I140" s="115"/>
      <c r="J140" s="115"/>
      <c r="K140" s="115"/>
      <c r="L140" s="115"/>
      <c r="M140" s="115"/>
      <c r="N140" s="115"/>
      <c r="O140" s="115"/>
      <c r="P140" s="115"/>
    </row>
    <row r="141" spans="1:16" ht="15" thickBot="1" x14ac:dyDescent="0.4">
      <c r="A141" s="123" t="s">
        <v>128</v>
      </c>
      <c r="B141" s="124"/>
      <c r="C141" s="124"/>
      <c r="D141" s="124"/>
      <c r="E141" s="124"/>
      <c r="F141" s="124"/>
      <c r="G141" s="19"/>
      <c r="H141" s="115"/>
      <c r="I141" s="115"/>
      <c r="J141" s="115"/>
      <c r="K141" s="115"/>
      <c r="L141" s="115"/>
      <c r="M141" s="115"/>
      <c r="N141" s="115"/>
      <c r="O141" s="115"/>
      <c r="P141" s="115"/>
    </row>
    <row r="142" spans="1:16" ht="15" thickBot="1" x14ac:dyDescent="0.4">
      <c r="H142" s="115"/>
      <c r="I142" s="115"/>
      <c r="J142" s="115"/>
      <c r="K142" s="115"/>
      <c r="L142" s="115"/>
      <c r="M142" s="115"/>
      <c r="N142" s="115"/>
      <c r="O142" s="115"/>
      <c r="P142" s="115"/>
    </row>
    <row r="143" spans="1:16" ht="15" thickBot="1" x14ac:dyDescent="0.4">
      <c r="A143" s="117" t="s">
        <v>2</v>
      </c>
      <c r="B143" s="118"/>
      <c r="C143" s="118"/>
      <c r="D143" s="119"/>
      <c r="E143" s="35" t="s">
        <v>129</v>
      </c>
      <c r="F143" s="118" t="s">
        <v>130</v>
      </c>
      <c r="G143" s="119"/>
      <c r="H143" s="115"/>
      <c r="I143" s="115"/>
      <c r="J143" s="115"/>
      <c r="K143" s="115"/>
      <c r="L143" s="115"/>
      <c r="M143" s="115"/>
      <c r="N143" s="115"/>
      <c r="O143" s="115"/>
      <c r="P143" s="115"/>
    </row>
    <row r="144" spans="1:16" ht="15" thickBot="1" x14ac:dyDescent="0.4">
      <c r="A144" s="152" t="s">
        <v>131</v>
      </c>
      <c r="B144" s="153"/>
      <c r="C144" s="153"/>
      <c r="D144" s="214"/>
      <c r="E144" s="85">
        <v>2.76E-2</v>
      </c>
      <c r="F144" s="207">
        <f>G4*E144</f>
        <v>5604.4802879999997</v>
      </c>
      <c r="G144" s="208"/>
      <c r="H144" s="115"/>
      <c r="I144" s="115"/>
      <c r="J144" s="115"/>
      <c r="K144" s="115"/>
      <c r="L144" s="115"/>
      <c r="M144" s="115"/>
      <c r="N144" s="115"/>
      <c r="O144" s="115"/>
      <c r="P144" s="115"/>
    </row>
    <row r="145" spans="1:16" ht="15" thickBot="1" x14ac:dyDescent="0.4">
      <c r="A145" s="157" t="s">
        <v>132</v>
      </c>
      <c r="B145" s="158"/>
      <c r="C145" s="158"/>
      <c r="D145" s="215"/>
      <c r="E145" s="86">
        <v>6.0000000000000001E-3</v>
      </c>
      <c r="F145" s="209">
        <f>G4*E145</f>
        <v>1218.36528</v>
      </c>
      <c r="G145" s="210"/>
      <c r="H145" s="115"/>
      <c r="I145" s="115"/>
      <c r="J145" s="115"/>
      <c r="K145" s="115"/>
      <c r="L145" s="115"/>
      <c r="M145" s="115"/>
      <c r="N145" s="115"/>
      <c r="O145" s="115"/>
      <c r="P145" s="115"/>
    </row>
    <row r="146" spans="1:16" ht="15" thickBot="1" x14ac:dyDescent="0.4">
      <c r="A146" s="157" t="s">
        <v>133</v>
      </c>
      <c r="B146" s="158"/>
      <c r="C146" s="158"/>
      <c r="D146" s="215"/>
      <c r="E146" s="86">
        <v>2.87E-2</v>
      </c>
      <c r="F146" s="209">
        <f>G4*E146</f>
        <v>5827.847256</v>
      </c>
      <c r="G146" s="210"/>
      <c r="H146" s="115"/>
      <c r="I146" s="115"/>
      <c r="J146" s="115"/>
      <c r="K146" s="115"/>
      <c r="L146" s="115"/>
      <c r="M146" s="115"/>
      <c r="N146" s="115"/>
      <c r="O146" s="115"/>
      <c r="P146" s="115"/>
    </row>
    <row r="147" spans="1:16" ht="15" thickBot="1" x14ac:dyDescent="0.4">
      <c r="A147" s="157" t="s">
        <v>134</v>
      </c>
      <c r="B147" s="158"/>
      <c r="C147" s="158"/>
      <c r="D147" s="215"/>
      <c r="E147" s="86">
        <v>2.9399999999999999E-2</v>
      </c>
      <c r="F147" s="209">
        <f>G4*E147</f>
        <v>5969.9898720000001</v>
      </c>
      <c r="G147" s="210"/>
      <c r="H147" s="115"/>
      <c r="I147" s="115"/>
      <c r="J147" s="115"/>
      <c r="K147" s="115"/>
      <c r="L147" s="115"/>
      <c r="M147" s="115"/>
      <c r="N147" s="115"/>
      <c r="O147" s="115"/>
      <c r="P147" s="115"/>
    </row>
    <row r="148" spans="1:16" ht="15" thickBot="1" x14ac:dyDescent="0.4">
      <c r="A148" s="218" t="s">
        <v>135</v>
      </c>
      <c r="B148" s="219"/>
      <c r="C148" s="219"/>
      <c r="D148" s="220"/>
      <c r="E148" s="87">
        <v>6.1156000000000002E-2</v>
      </c>
      <c r="F148" s="223">
        <f>G4*E148</f>
        <v>12418.39117728</v>
      </c>
      <c r="G148" s="222"/>
      <c r="H148" s="115"/>
      <c r="I148" s="115"/>
      <c r="J148" s="115"/>
      <c r="K148" s="115"/>
      <c r="L148" s="115"/>
      <c r="M148" s="115"/>
      <c r="N148" s="115"/>
      <c r="O148" s="115"/>
      <c r="P148" s="115"/>
    </row>
    <row r="149" spans="1:16" ht="15" thickBot="1" x14ac:dyDescent="0.4">
      <c r="H149" s="115"/>
      <c r="I149" s="115"/>
      <c r="J149" s="115"/>
      <c r="K149" s="115"/>
      <c r="L149" s="115"/>
      <c r="M149" s="115"/>
      <c r="N149" s="115"/>
      <c r="O149" s="115"/>
      <c r="P149" s="115"/>
    </row>
    <row r="150" spans="1:16" ht="15" thickBot="1" x14ac:dyDescent="0.4">
      <c r="A150" s="216" t="s">
        <v>136</v>
      </c>
      <c r="B150" s="217"/>
      <c r="C150" s="217"/>
      <c r="D150" s="82"/>
      <c r="E150" s="82"/>
      <c r="F150" s="82"/>
      <c r="G150" s="84">
        <f>F144+F145+F146+F147+F148</f>
        <v>31039.073873280002</v>
      </c>
      <c r="H150" s="115"/>
      <c r="I150" s="115"/>
      <c r="J150" s="115"/>
      <c r="K150" s="115"/>
      <c r="L150" s="115"/>
      <c r="M150" s="115"/>
      <c r="N150" s="115"/>
      <c r="O150" s="115"/>
      <c r="P150" s="115"/>
    </row>
    <row r="151" spans="1:16" ht="15" thickBot="1" x14ac:dyDescent="0.4">
      <c r="H151" s="115"/>
      <c r="I151" s="115"/>
      <c r="J151" s="115"/>
      <c r="K151" s="115"/>
      <c r="L151" s="115"/>
      <c r="M151" s="115"/>
      <c r="N151" s="115"/>
      <c r="O151" s="115"/>
      <c r="P151" s="115"/>
    </row>
    <row r="152" spans="1:16" ht="15" thickBot="1" x14ac:dyDescent="0.4">
      <c r="A152" s="123" t="s">
        <v>137</v>
      </c>
      <c r="B152" s="124"/>
      <c r="C152" s="124"/>
      <c r="D152" s="124"/>
      <c r="E152" s="124"/>
      <c r="F152" s="124"/>
      <c r="G152" s="19"/>
    </row>
    <row r="153" spans="1:16" ht="15" thickBot="1" x14ac:dyDescent="0.4"/>
    <row r="154" spans="1:16" ht="15" thickBot="1" x14ac:dyDescent="0.4">
      <c r="A154" s="117" t="s">
        <v>2</v>
      </c>
      <c r="B154" s="118"/>
      <c r="C154" s="118"/>
      <c r="D154" s="119"/>
      <c r="E154" s="35" t="s">
        <v>138</v>
      </c>
      <c r="F154" s="117" t="s">
        <v>139</v>
      </c>
      <c r="G154" s="119"/>
    </row>
    <row r="155" spans="1:16" ht="15" thickBot="1" x14ac:dyDescent="0.4">
      <c r="A155" s="218" t="s">
        <v>140</v>
      </c>
      <c r="B155" s="219"/>
      <c r="C155" s="219"/>
      <c r="D155" s="220"/>
      <c r="E155" s="88">
        <f>F155*100/G4</f>
        <v>5.5925514714357876</v>
      </c>
      <c r="F155" s="221">
        <f>G4-G38-G49-G60-G68-G111-G126-G137-G150</f>
        <v>11356.284232350459</v>
      </c>
      <c r="G155" s="222"/>
    </row>
  </sheetData>
  <sheetProtection algorithmName="SHA-512" hashValue="adKmy1S/+oN2J2mPUkBa2DypYoj26pwNWzt9uJNKw2II9RVVI9T3ep/UxdJlJjBA3alUAWWJsfdyEVC3fusF/w==" saltValue="eBqwKYUN4qaLVwhw8soSUQ==" spinCount="100000" sheet="1" formatCells="0" formatColumns="0" formatRows="0" insertColumns="0" insertRows="0" insertHyperlinks="0" deleteColumns="0" deleteRows="0" sort="0" autoFilter="0" pivotTables="0"/>
  <mergeCells count="145">
    <mergeCell ref="A150:C150"/>
    <mergeCell ref="A152:F152"/>
    <mergeCell ref="A154:D154"/>
    <mergeCell ref="F154:G154"/>
    <mergeCell ref="A155:D155"/>
    <mergeCell ref="F155:G155"/>
    <mergeCell ref="A146:D146"/>
    <mergeCell ref="F146:G146"/>
    <mergeCell ref="A147:D147"/>
    <mergeCell ref="F147:G147"/>
    <mergeCell ref="A148:D148"/>
    <mergeCell ref="F148:G148"/>
    <mergeCell ref="A141:F141"/>
    <mergeCell ref="A143:D143"/>
    <mergeCell ref="F143:G143"/>
    <mergeCell ref="A144:D144"/>
    <mergeCell ref="F144:G144"/>
    <mergeCell ref="A145:D145"/>
    <mergeCell ref="F145:G145"/>
    <mergeCell ref="A134:C134"/>
    <mergeCell ref="F134:G134"/>
    <mergeCell ref="A135:C135"/>
    <mergeCell ref="F135:G135"/>
    <mergeCell ref="A137:C137"/>
    <mergeCell ref="A139:G139"/>
    <mergeCell ref="A131:C131"/>
    <mergeCell ref="F131:G131"/>
    <mergeCell ref="A132:C132"/>
    <mergeCell ref="F132:G132"/>
    <mergeCell ref="A133:C133"/>
    <mergeCell ref="F133:G133"/>
    <mergeCell ref="A125:B125"/>
    <mergeCell ref="C125:G125"/>
    <mergeCell ref="A126:B126"/>
    <mergeCell ref="A128:F128"/>
    <mergeCell ref="A130:C130"/>
    <mergeCell ref="F130:G130"/>
    <mergeCell ref="A122:B122"/>
    <mergeCell ref="C122:G122"/>
    <mergeCell ref="A123:B123"/>
    <mergeCell ref="C123:G123"/>
    <mergeCell ref="A124:B124"/>
    <mergeCell ref="C124:G124"/>
    <mergeCell ref="A117:B117"/>
    <mergeCell ref="C117:G117"/>
    <mergeCell ref="A118:B118"/>
    <mergeCell ref="C118:G118"/>
    <mergeCell ref="C119:G119"/>
    <mergeCell ref="C120:G120"/>
    <mergeCell ref="A110:B110"/>
    <mergeCell ref="C110:G110"/>
    <mergeCell ref="A111:B111"/>
    <mergeCell ref="A113:B113"/>
    <mergeCell ref="A115:G115"/>
    <mergeCell ref="A116:B116"/>
    <mergeCell ref="C116:G116"/>
    <mergeCell ref="A107:B107"/>
    <mergeCell ref="C107:G107"/>
    <mergeCell ref="A108:B108"/>
    <mergeCell ref="C108:G108"/>
    <mergeCell ref="A109:B109"/>
    <mergeCell ref="C109:G109"/>
    <mergeCell ref="A104:B104"/>
    <mergeCell ref="C104:G104"/>
    <mergeCell ref="A105:B105"/>
    <mergeCell ref="C105:G105"/>
    <mergeCell ref="A106:B106"/>
    <mergeCell ref="C106:G106"/>
    <mergeCell ref="A100:B100"/>
    <mergeCell ref="C100:G100"/>
    <mergeCell ref="A101:G101"/>
    <mergeCell ref="A102:B102"/>
    <mergeCell ref="C102:G102"/>
    <mergeCell ref="A103:B103"/>
    <mergeCell ref="C103:G103"/>
    <mergeCell ref="A97:B97"/>
    <mergeCell ref="C97:G97"/>
    <mergeCell ref="A98:B98"/>
    <mergeCell ref="C98:G98"/>
    <mergeCell ref="A99:B99"/>
    <mergeCell ref="C99:G99"/>
    <mergeCell ref="A93:B93"/>
    <mergeCell ref="C93:G93"/>
    <mergeCell ref="A94:B94"/>
    <mergeCell ref="C94:G94"/>
    <mergeCell ref="A95:G95"/>
    <mergeCell ref="A96:B96"/>
    <mergeCell ref="C96:G96"/>
    <mergeCell ref="A90:B90"/>
    <mergeCell ref="C90:G90"/>
    <mergeCell ref="A91:B91"/>
    <mergeCell ref="C91:G91"/>
    <mergeCell ref="A92:B92"/>
    <mergeCell ref="C92:G92"/>
    <mergeCell ref="A86:G86"/>
    <mergeCell ref="A87:B87"/>
    <mergeCell ref="C87:G87"/>
    <mergeCell ref="A88:B88"/>
    <mergeCell ref="C88:G88"/>
    <mergeCell ref="A89:B89"/>
    <mergeCell ref="C89:G89"/>
    <mergeCell ref="A83:B83"/>
    <mergeCell ref="C83:G83"/>
    <mergeCell ref="A84:B84"/>
    <mergeCell ref="C84:G84"/>
    <mergeCell ref="A85:B85"/>
    <mergeCell ref="C85:G85"/>
    <mergeCell ref="A77:B77"/>
    <mergeCell ref="C77:G77"/>
    <mergeCell ref="C78:G78"/>
    <mergeCell ref="C79:G79"/>
    <mergeCell ref="A81:G81"/>
    <mergeCell ref="A82:B82"/>
    <mergeCell ref="C82:G82"/>
    <mergeCell ref="A70:F70"/>
    <mergeCell ref="A72:B72"/>
    <mergeCell ref="A74:G74"/>
    <mergeCell ref="A75:B75"/>
    <mergeCell ref="C75:G75"/>
    <mergeCell ref="A76:B76"/>
    <mergeCell ref="C76:G76"/>
    <mergeCell ref="A55:B55"/>
    <mergeCell ref="A56:B56"/>
    <mergeCell ref="A58:F58"/>
    <mergeCell ref="A62:F62"/>
    <mergeCell ref="A64:B64"/>
    <mergeCell ref="A65:B65"/>
    <mergeCell ref="A51:F51"/>
    <mergeCell ref="A53:B53"/>
    <mergeCell ref="A54:B54"/>
    <mergeCell ref="A27:F27"/>
    <mergeCell ref="A36:F36"/>
    <mergeCell ref="A40:F40"/>
    <mergeCell ref="A42:B42"/>
    <mergeCell ref="A43:B43"/>
    <mergeCell ref="A44:B44"/>
    <mergeCell ref="A1:G1"/>
    <mergeCell ref="B3:C3"/>
    <mergeCell ref="B4:C4"/>
    <mergeCell ref="A10:G10"/>
    <mergeCell ref="A12:F12"/>
    <mergeCell ref="A21:F21"/>
    <mergeCell ref="A45:B45"/>
    <mergeCell ref="A46:B46"/>
    <mergeCell ref="A47:F47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74F4A-07DC-4B75-B0FE-FAB83864CB82}">
  <dimension ref="A1:G47"/>
  <sheetViews>
    <sheetView topLeftCell="A25" workbookViewId="0">
      <selection activeCell="P17" sqref="P17"/>
    </sheetView>
  </sheetViews>
  <sheetFormatPr defaultRowHeight="14.5" x14ac:dyDescent="0.35"/>
  <cols>
    <col min="1" max="1" width="57.81640625" bestFit="1" customWidth="1"/>
    <col min="7" max="7" width="9.08984375" bestFit="1" customWidth="1"/>
  </cols>
  <sheetData>
    <row r="1" spans="1:7" x14ac:dyDescent="0.35">
      <c r="A1" s="227" t="s">
        <v>141</v>
      </c>
      <c r="B1" s="228"/>
      <c r="C1" s="228"/>
      <c r="D1" s="228"/>
      <c r="E1" s="228"/>
      <c r="F1" s="228"/>
      <c r="G1" s="228"/>
    </row>
    <row r="2" spans="1:7" ht="15" thickBot="1" x14ac:dyDescent="0.4"/>
    <row r="3" spans="1:7" x14ac:dyDescent="0.35">
      <c r="A3" s="229" t="s">
        <v>190</v>
      </c>
      <c r="B3" s="230"/>
      <c r="C3" s="230"/>
      <c r="D3" s="230"/>
      <c r="E3" s="230"/>
      <c r="F3" s="230"/>
      <c r="G3" s="231"/>
    </row>
    <row r="4" spans="1:7" x14ac:dyDescent="0.35">
      <c r="A4" s="232"/>
      <c r="B4" s="228"/>
      <c r="C4" s="228"/>
      <c r="D4" s="228"/>
      <c r="E4" s="228"/>
      <c r="F4" s="228"/>
      <c r="G4" s="233"/>
    </row>
    <row r="5" spans="1:7" ht="15" thickBot="1" x14ac:dyDescent="0.4">
      <c r="A5" s="234"/>
      <c r="B5" s="235"/>
      <c r="C5" s="235"/>
      <c r="D5" s="235"/>
      <c r="E5" s="235"/>
      <c r="F5" s="235"/>
      <c r="G5" s="236"/>
    </row>
    <row r="6" spans="1:7" ht="15" thickBot="1" x14ac:dyDescent="0.4">
      <c r="A6" s="237" t="s">
        <v>142</v>
      </c>
      <c r="B6" s="225"/>
      <c r="C6" s="225"/>
      <c r="D6" s="225"/>
      <c r="E6" s="225"/>
      <c r="F6" s="225"/>
      <c r="G6" s="226"/>
    </row>
    <row r="7" spans="1:7" ht="33.5" customHeight="1" thickBot="1" x14ac:dyDescent="0.4">
      <c r="A7" s="238" t="s">
        <v>143</v>
      </c>
      <c r="B7" s="235"/>
      <c r="C7" s="235"/>
      <c r="D7" s="235"/>
      <c r="E7" s="235"/>
      <c r="F7" s="235"/>
      <c r="G7" s="236"/>
    </row>
    <row r="8" spans="1:7" ht="15" thickBot="1" x14ac:dyDescent="0.4">
      <c r="A8" s="239" t="s">
        <v>144</v>
      </c>
      <c r="B8" s="230"/>
      <c r="C8" s="230"/>
      <c r="D8" s="230"/>
      <c r="E8" s="230"/>
      <c r="F8" s="230"/>
      <c r="G8" s="231"/>
    </row>
    <row r="9" spans="1:7" ht="15" thickBot="1" x14ac:dyDescent="0.4">
      <c r="A9" s="90" t="s">
        <v>145</v>
      </c>
      <c r="B9" s="224" t="s">
        <v>183</v>
      </c>
      <c r="C9" s="225"/>
      <c r="D9" s="225"/>
      <c r="E9" s="225"/>
      <c r="F9" s="225"/>
      <c r="G9" s="226"/>
    </row>
    <row r="10" spans="1:7" ht="15" thickBot="1" x14ac:dyDescent="0.4">
      <c r="A10" s="91" t="s">
        <v>146</v>
      </c>
      <c r="B10" s="224" t="s">
        <v>184</v>
      </c>
      <c r="C10" s="225"/>
      <c r="D10" s="225"/>
      <c r="E10" s="225"/>
      <c r="F10" s="225"/>
      <c r="G10" s="226"/>
    </row>
    <row r="11" spans="1:7" ht="15" thickBot="1" x14ac:dyDescent="0.4">
      <c r="A11" s="90" t="s">
        <v>147</v>
      </c>
      <c r="B11" s="224" t="s">
        <v>185</v>
      </c>
      <c r="C11" s="225"/>
      <c r="D11" s="225"/>
      <c r="E11" s="225"/>
      <c r="F11" s="225"/>
      <c r="G11" s="226"/>
    </row>
    <row r="12" spans="1:7" ht="15" thickBot="1" x14ac:dyDescent="0.4">
      <c r="A12" s="90" t="s">
        <v>148</v>
      </c>
      <c r="B12" s="241" t="s">
        <v>186</v>
      </c>
      <c r="C12" s="228"/>
      <c r="D12" s="228"/>
      <c r="E12" s="228"/>
      <c r="F12" s="228"/>
      <c r="G12" s="233"/>
    </row>
    <row r="13" spans="1:7" ht="15" thickBot="1" x14ac:dyDescent="0.4">
      <c r="A13" s="90" t="s">
        <v>149</v>
      </c>
      <c r="B13" s="224" t="s">
        <v>187</v>
      </c>
      <c r="C13" s="225"/>
      <c r="D13" s="225"/>
      <c r="E13" s="225"/>
      <c r="F13" s="225"/>
      <c r="G13" s="226"/>
    </row>
    <row r="14" spans="1:7" ht="15" thickBot="1" x14ac:dyDescent="0.4">
      <c r="A14" s="90" t="s">
        <v>150</v>
      </c>
      <c r="B14" s="224" t="s">
        <v>188</v>
      </c>
      <c r="C14" s="225"/>
      <c r="D14" s="225"/>
      <c r="E14" s="225"/>
      <c r="F14" s="225"/>
      <c r="G14" s="226"/>
    </row>
    <row r="15" spans="1:7" ht="15" thickBot="1" x14ac:dyDescent="0.4">
      <c r="A15" s="92" t="s">
        <v>151</v>
      </c>
      <c r="B15" s="242" t="s">
        <v>189</v>
      </c>
      <c r="C15" s="225"/>
      <c r="D15" s="225"/>
      <c r="E15" s="225"/>
      <c r="F15" s="225"/>
      <c r="G15" s="226"/>
    </row>
    <row r="16" spans="1:7" ht="15" thickBot="1" x14ac:dyDescent="0.4">
      <c r="A16" s="243" t="s">
        <v>14</v>
      </c>
      <c r="B16" s="225"/>
      <c r="C16" s="225"/>
      <c r="D16" s="225"/>
      <c r="E16" s="225"/>
      <c r="F16" s="225"/>
      <c r="G16" s="226"/>
    </row>
    <row r="17" spans="1:7" ht="15" thickBot="1" x14ac:dyDescent="0.4">
      <c r="A17" s="244" t="s">
        <v>152</v>
      </c>
      <c r="B17" s="225"/>
      <c r="C17" s="225"/>
      <c r="D17" s="225"/>
      <c r="E17" s="225"/>
      <c r="F17" s="225"/>
      <c r="G17" s="226"/>
    </row>
    <row r="18" spans="1:7" ht="15" thickBot="1" x14ac:dyDescent="0.4">
      <c r="A18" s="245" t="s">
        <v>153</v>
      </c>
      <c r="B18" s="230"/>
      <c r="C18" s="230"/>
      <c r="D18" s="230"/>
      <c r="E18" s="230"/>
      <c r="F18" s="231"/>
      <c r="G18" s="93"/>
    </row>
    <row r="19" spans="1:7" ht="15" thickBot="1" x14ac:dyDescent="0.4">
      <c r="A19" s="246" t="s">
        <v>154</v>
      </c>
      <c r="B19" s="225"/>
      <c r="C19" s="225"/>
      <c r="D19" s="225"/>
      <c r="E19" s="225"/>
      <c r="F19" s="226"/>
      <c r="G19" s="94"/>
    </row>
    <row r="20" spans="1:7" ht="15" thickBot="1" x14ac:dyDescent="0.4">
      <c r="A20" s="246" t="s">
        <v>155</v>
      </c>
      <c r="B20" s="225"/>
      <c r="C20" s="225"/>
      <c r="D20" s="225"/>
      <c r="E20" s="225"/>
      <c r="F20" s="226"/>
      <c r="G20" s="94"/>
    </row>
    <row r="21" spans="1:7" ht="15" thickBot="1" x14ac:dyDescent="0.4">
      <c r="A21" s="240" t="s">
        <v>156</v>
      </c>
      <c r="B21" s="235"/>
      <c r="C21" s="235"/>
      <c r="D21" s="235"/>
      <c r="E21" s="235"/>
      <c r="F21" s="236"/>
      <c r="G21" s="95">
        <f>(DETALHAMENTO!G38)</f>
        <v>36942.720000000001</v>
      </c>
    </row>
    <row r="22" spans="1:7" ht="15" thickBot="1" x14ac:dyDescent="0.4">
      <c r="A22" s="96" t="s">
        <v>157</v>
      </c>
      <c r="B22" s="97"/>
      <c r="C22" s="97"/>
      <c r="D22" s="97"/>
      <c r="E22" s="97"/>
      <c r="F22" s="97"/>
      <c r="G22" s="98"/>
    </row>
    <row r="23" spans="1:7" ht="15" thickBot="1" x14ac:dyDescent="0.4">
      <c r="A23" s="99" t="s">
        <v>158</v>
      </c>
      <c r="B23" s="100"/>
      <c r="C23" s="100"/>
      <c r="D23" s="100"/>
      <c r="E23" s="100"/>
      <c r="F23" s="100"/>
      <c r="G23" s="101"/>
    </row>
    <row r="24" spans="1:7" ht="15" thickBot="1" x14ac:dyDescent="0.4">
      <c r="A24" s="249" t="s">
        <v>159</v>
      </c>
      <c r="B24" s="225"/>
      <c r="C24" s="225"/>
      <c r="D24" s="225"/>
      <c r="E24" s="225"/>
      <c r="F24" s="226"/>
      <c r="G24" s="102">
        <f>(DETALHAMENTO!G49)</f>
        <v>1579.6981904761903</v>
      </c>
    </row>
    <row r="25" spans="1:7" ht="15" thickBot="1" x14ac:dyDescent="0.4">
      <c r="A25" s="96" t="s">
        <v>160</v>
      </c>
      <c r="B25" s="97"/>
      <c r="C25" s="97"/>
      <c r="D25" s="97"/>
      <c r="E25" s="97"/>
      <c r="F25" s="97"/>
      <c r="G25" s="98"/>
    </row>
    <row r="26" spans="1:7" ht="15" thickBot="1" x14ac:dyDescent="0.4">
      <c r="A26" s="99" t="s">
        <v>161</v>
      </c>
      <c r="B26" s="100"/>
      <c r="C26" s="100"/>
      <c r="D26" s="100"/>
      <c r="E26" s="100"/>
      <c r="F26" s="100"/>
      <c r="G26" s="94"/>
    </row>
    <row r="27" spans="1:7" ht="15" thickBot="1" x14ac:dyDescent="0.4">
      <c r="A27" s="249" t="s">
        <v>162</v>
      </c>
      <c r="B27" s="225"/>
      <c r="C27" s="225"/>
      <c r="D27" s="225"/>
      <c r="E27" s="225"/>
      <c r="F27" s="226"/>
      <c r="G27" s="102">
        <f>(DETALHAMENTO!G60)</f>
        <v>105.98333333333332</v>
      </c>
    </row>
    <row r="28" spans="1:7" ht="15" thickBot="1" x14ac:dyDescent="0.4">
      <c r="A28" s="96" t="s">
        <v>163</v>
      </c>
      <c r="B28" s="97"/>
      <c r="C28" s="97"/>
      <c r="D28" s="97"/>
      <c r="E28" s="97"/>
      <c r="F28" s="97"/>
      <c r="G28" s="98"/>
    </row>
    <row r="29" spans="1:7" ht="15" thickBot="1" x14ac:dyDescent="0.4">
      <c r="A29" s="99" t="s">
        <v>164</v>
      </c>
      <c r="B29" s="100"/>
      <c r="C29" s="100"/>
      <c r="D29" s="100"/>
      <c r="E29" s="100"/>
      <c r="F29" s="100"/>
      <c r="G29" s="94"/>
    </row>
    <row r="30" spans="1:7" ht="15" thickBot="1" x14ac:dyDescent="0.4">
      <c r="A30" s="249" t="s">
        <v>165</v>
      </c>
      <c r="B30" s="225"/>
      <c r="C30" s="225"/>
      <c r="D30" s="225"/>
      <c r="E30" s="225"/>
      <c r="F30" s="226"/>
      <c r="G30" s="102">
        <f>(DETALHAMENTO!G68)</f>
        <v>600</v>
      </c>
    </row>
    <row r="31" spans="1:7" ht="15" thickBot="1" x14ac:dyDescent="0.4">
      <c r="A31" s="96" t="s">
        <v>166</v>
      </c>
      <c r="B31" s="97"/>
      <c r="C31" s="97"/>
      <c r="D31" s="97"/>
      <c r="E31" s="97"/>
      <c r="F31" s="97"/>
      <c r="G31" s="98"/>
    </row>
    <row r="32" spans="1:7" ht="15" thickBot="1" x14ac:dyDescent="0.4">
      <c r="A32" s="99" t="s">
        <v>167</v>
      </c>
      <c r="B32" s="100"/>
      <c r="C32" s="100"/>
      <c r="D32" s="100"/>
      <c r="E32" s="100"/>
      <c r="F32" s="100"/>
      <c r="G32" s="94"/>
    </row>
    <row r="33" spans="1:7" ht="15" thickBot="1" x14ac:dyDescent="0.4">
      <c r="A33" s="249" t="s">
        <v>168</v>
      </c>
      <c r="B33" s="225"/>
      <c r="C33" s="225"/>
      <c r="D33" s="225"/>
      <c r="E33" s="225"/>
      <c r="F33" s="226"/>
      <c r="G33" s="102">
        <f>(DETALHAMENTO!G111)</f>
        <v>60545.022370560007</v>
      </c>
    </row>
    <row r="34" spans="1:7" ht="15" thickBot="1" x14ac:dyDescent="0.4">
      <c r="A34" s="96" t="s">
        <v>169</v>
      </c>
      <c r="B34" s="97"/>
      <c r="C34" s="97"/>
      <c r="D34" s="97"/>
      <c r="E34" s="97"/>
      <c r="F34" s="97"/>
      <c r="G34" s="98"/>
    </row>
    <row r="35" spans="1:7" ht="15" thickBot="1" x14ac:dyDescent="0.4">
      <c r="A35" s="99" t="s">
        <v>170</v>
      </c>
      <c r="B35" s="100"/>
      <c r="C35" s="100"/>
      <c r="D35" s="100"/>
      <c r="E35" s="100"/>
      <c r="F35" s="100"/>
      <c r="G35" s="94"/>
    </row>
    <row r="36" spans="1:7" ht="15" thickBot="1" x14ac:dyDescent="0.4">
      <c r="A36" s="249" t="s">
        <v>171</v>
      </c>
      <c r="B36" s="225"/>
      <c r="C36" s="225"/>
      <c r="D36" s="225"/>
      <c r="E36" s="225"/>
      <c r="F36" s="226"/>
      <c r="G36" s="102">
        <f>(DETALHAMENTO!G126)</f>
        <v>13341.197999999999</v>
      </c>
    </row>
    <row r="37" spans="1:7" ht="15" thickBot="1" x14ac:dyDescent="0.4">
      <c r="A37" s="96" t="s">
        <v>172</v>
      </c>
      <c r="B37" s="97"/>
      <c r="C37" s="97"/>
      <c r="D37" s="97"/>
      <c r="E37" s="97"/>
      <c r="F37" s="97"/>
      <c r="G37" s="98"/>
    </row>
    <row r="38" spans="1:7" ht="15" thickBot="1" x14ac:dyDescent="0.4">
      <c r="A38" s="99" t="s">
        <v>173</v>
      </c>
      <c r="B38" s="100"/>
      <c r="C38" s="100"/>
      <c r="D38" s="100"/>
      <c r="E38" s="100"/>
      <c r="F38" s="100"/>
      <c r="G38" s="94"/>
    </row>
    <row r="39" spans="1:7" ht="15" thickBot="1" x14ac:dyDescent="0.4">
      <c r="A39" s="249" t="s">
        <v>174</v>
      </c>
      <c r="B39" s="225"/>
      <c r="C39" s="225"/>
      <c r="D39" s="225"/>
      <c r="E39" s="225"/>
      <c r="F39" s="226"/>
      <c r="G39" s="102">
        <f>(DETALHAMENTO!G137)</f>
        <v>47550.9</v>
      </c>
    </row>
    <row r="40" spans="1:7" ht="15" thickBot="1" x14ac:dyDescent="0.4">
      <c r="A40" s="247" t="s">
        <v>175</v>
      </c>
      <c r="B40" s="225"/>
      <c r="C40" s="225"/>
      <c r="D40" s="225"/>
      <c r="E40" s="225"/>
      <c r="F40" s="226"/>
      <c r="G40" s="103">
        <f>G21+G24+G27+G30+G33+G36+G39</f>
        <v>160665.52189436954</v>
      </c>
    </row>
    <row r="41" spans="1:7" ht="15" thickBot="1" x14ac:dyDescent="0.4">
      <c r="A41" s="243" t="s">
        <v>176</v>
      </c>
      <c r="B41" s="225"/>
      <c r="C41" s="225"/>
      <c r="D41" s="225"/>
      <c r="E41" s="225"/>
      <c r="F41" s="225"/>
      <c r="G41" s="226"/>
    </row>
    <row r="42" spans="1:7" ht="15" thickBot="1" x14ac:dyDescent="0.4">
      <c r="A42" s="96" t="s">
        <v>177</v>
      </c>
      <c r="B42" s="97"/>
      <c r="C42" s="97"/>
      <c r="D42" s="97"/>
      <c r="E42" s="97"/>
      <c r="F42" s="97"/>
      <c r="G42" s="98"/>
    </row>
    <row r="43" spans="1:7" ht="15" thickBot="1" x14ac:dyDescent="0.4">
      <c r="A43" s="99" t="s">
        <v>178</v>
      </c>
      <c r="B43" s="100"/>
      <c r="C43" s="100"/>
      <c r="D43" s="100"/>
      <c r="E43" s="100"/>
      <c r="F43" s="100"/>
      <c r="G43" s="101"/>
    </row>
    <row r="44" spans="1:7" ht="15" thickBot="1" x14ac:dyDescent="0.4">
      <c r="A44" s="248" t="s">
        <v>179</v>
      </c>
      <c r="B44" s="225"/>
      <c r="C44" s="225"/>
      <c r="D44" s="225"/>
      <c r="E44" s="225"/>
      <c r="F44" s="226"/>
      <c r="G44" s="104">
        <f>(DETALHAMENTO!G150)</f>
        <v>31039.073873280002</v>
      </c>
    </row>
    <row r="45" spans="1:7" ht="15" thickBot="1" x14ac:dyDescent="0.4">
      <c r="A45" s="243" t="s">
        <v>180</v>
      </c>
      <c r="B45" s="225"/>
      <c r="C45" s="225"/>
      <c r="D45" s="225"/>
      <c r="E45" s="225"/>
      <c r="F45" s="225"/>
      <c r="G45" s="226"/>
    </row>
    <row r="46" spans="1:7" ht="15" thickBot="1" x14ac:dyDescent="0.4">
      <c r="A46" s="105" t="s">
        <v>181</v>
      </c>
      <c r="B46" s="106"/>
      <c r="C46" s="106"/>
      <c r="D46" s="106"/>
      <c r="E46" s="106"/>
      <c r="F46" s="107"/>
      <c r="G46" s="108"/>
    </row>
    <row r="47" spans="1:7" ht="15" thickBot="1" x14ac:dyDescent="0.4">
      <c r="A47" s="109" t="s">
        <v>182</v>
      </c>
      <c r="B47" s="110"/>
      <c r="C47" s="110"/>
      <c r="D47" s="110"/>
      <c r="E47" s="110"/>
      <c r="F47" s="111"/>
      <c r="G47" s="112">
        <f>(DETALHAMENTO!F155)</f>
        <v>11356.284232350459</v>
      </c>
    </row>
  </sheetData>
  <mergeCells count="28">
    <mergeCell ref="A40:F40"/>
    <mergeCell ref="A41:G41"/>
    <mergeCell ref="A44:F44"/>
    <mergeCell ref="A45:G45"/>
    <mergeCell ref="A24:F24"/>
    <mergeCell ref="A27:F27"/>
    <mergeCell ref="A30:F30"/>
    <mergeCell ref="A33:F33"/>
    <mergeCell ref="A36:F36"/>
    <mergeCell ref="A39:F39"/>
    <mergeCell ref="A21:F21"/>
    <mergeCell ref="B10:G10"/>
    <mergeCell ref="B11:G11"/>
    <mergeCell ref="B12:G12"/>
    <mergeCell ref="B13:G13"/>
    <mergeCell ref="B14:G14"/>
    <mergeCell ref="B15:G15"/>
    <mergeCell ref="A16:G16"/>
    <mergeCell ref="A17:G17"/>
    <mergeCell ref="A18:F18"/>
    <mergeCell ref="A19:F19"/>
    <mergeCell ref="A20:F20"/>
    <mergeCell ref="B9:G9"/>
    <mergeCell ref="A1:G1"/>
    <mergeCell ref="A3:G5"/>
    <mergeCell ref="A6:G6"/>
    <mergeCell ref="A7:G7"/>
    <mergeCell ref="A8:G8"/>
  </mergeCells>
  <hyperlinks>
    <hyperlink ref="B15" r:id="rId1" xr:uid="{81D3B987-0700-41B5-AEDE-D374D5E1A9A9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DETALHAMENTO</vt:lpstr>
      <vt:lpstr>RESUMO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Pinheiro</dc:creator>
  <cp:lastModifiedBy>Alexandre Pinheiro</cp:lastModifiedBy>
  <dcterms:created xsi:type="dcterms:W3CDTF">2025-03-23T21:40:59Z</dcterms:created>
  <dcterms:modified xsi:type="dcterms:W3CDTF">2025-08-18T11:16:33Z</dcterms:modified>
</cp:coreProperties>
</file>