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steixeira\Desktop\Nova pasta (2)\"/>
    </mc:Choice>
  </mc:AlternateContent>
  <bookViews>
    <workbookView xWindow="0" yWindow="0" windowWidth="23955" windowHeight="8760"/>
  </bookViews>
  <sheets>
    <sheet name="APENSO UNIFORME" sheetId="2" r:id="rId1"/>
    <sheet name="MAPA DE ANÁLISE" sheetId="1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2" l="1"/>
  <c r="P10" i="1"/>
  <c r="N10" i="1"/>
  <c r="J10" i="1"/>
  <c r="R10" i="1" s="1"/>
  <c r="Q10" i="1" s="1"/>
  <c r="M9" i="1"/>
  <c r="K9" i="1"/>
  <c r="J9" i="1"/>
  <c r="I9" i="1"/>
  <c r="R9" i="1" s="1"/>
  <c r="Q9" i="1" s="1"/>
  <c r="P8" i="1"/>
  <c r="O8" i="1"/>
  <c r="G8" i="1"/>
  <c r="R8" i="1" s="1"/>
  <c r="Q8" i="1" s="1"/>
  <c r="P7" i="1"/>
  <c r="O7" i="1"/>
  <c r="J7" i="1"/>
  <c r="H7" i="1"/>
  <c r="G7" i="1"/>
  <c r="R7" i="1" s="1"/>
  <c r="Q7" i="1" s="1"/>
  <c r="P6" i="1"/>
  <c r="J6" i="1"/>
  <c r="G6" i="1"/>
  <c r="R6" i="1" s="1"/>
  <c r="Q6" i="1" s="1"/>
  <c r="P5" i="1"/>
  <c r="N5" i="1"/>
  <c r="M5" i="1"/>
  <c r="L5" i="1"/>
  <c r="K5" i="1"/>
  <c r="I5" i="1"/>
  <c r="R5" i="1" s="1"/>
  <c r="R11" i="1" l="1"/>
  <c r="Q5" i="1"/>
  <c r="K5" i="2"/>
  <c r="H5" i="2"/>
  <c r="H10" i="2" l="1"/>
  <c r="K10" i="2" s="1"/>
  <c r="H9" i="2"/>
  <c r="K9" i="2" s="1"/>
  <c r="H8" i="2"/>
  <c r="K8" i="2" s="1"/>
  <c r="H7" i="2"/>
  <c r="K7" i="2" s="1"/>
  <c r="H6" i="2"/>
  <c r="K6" i="2" s="1"/>
  <c r="K11" i="2" l="1"/>
</calcChain>
</file>

<file path=xl/sharedStrings.xml><?xml version="1.0" encoding="utf-8"?>
<sst xmlns="http://schemas.openxmlformats.org/spreadsheetml/2006/main" count="42" uniqueCount="38">
  <si>
    <t>Item</t>
  </si>
  <si>
    <t>Quant.</t>
  </si>
  <si>
    <t>DESCRIÇÃO</t>
  </si>
  <si>
    <t>FORNECEDORES</t>
  </si>
  <si>
    <t>PREÇO MÉDIO UNITÁRIO</t>
  </si>
  <si>
    <t>PREÇO MÉDIO TOTAL</t>
  </si>
  <si>
    <t>CITEROL</t>
  </si>
  <si>
    <t>MUNDO DO MILITAR</t>
  </si>
  <si>
    <t>CONTINÊNCIA UNIFORMES</t>
  </si>
  <si>
    <t>DELTA TATICO</t>
  </si>
  <si>
    <t>PREÇO REFERENCIAL</t>
  </si>
  <si>
    <t>CRIAÇÕES SONELY</t>
  </si>
  <si>
    <t xml:space="preserve">VIGILANTE SHOP </t>
  </si>
  <si>
    <t>INTERNET</t>
  </si>
  <si>
    <t xml:space="preserve">Capa Colete Balístico - Perfeito ajuste ao corpo, para ser utilizado de maneira dissimulada, de forma que não comprometa nenhuma área do proteção e ainda otimizar a relação existente entre resistência e comodidade de uso, com liberdade para os movimentos. </t>
  </si>
  <si>
    <t>Agasalho Polycotton - 33% algodão e 67% poliéster, gramatura do tecido: 226 gramas, tipo jaqueta/japona, com zíper. Marca Cedro ou similar.</t>
  </si>
  <si>
    <t>Calça Polycotton - 33% algodão ou viscose, 67% poliéster, gramatura do tecido: 226 gramas, bolso faca nas laterais superiores, 2 bolsos traseiros, cós com forro do mesmo tecido, elástico nas barras. Marca Cedro ou similar.</t>
  </si>
  <si>
    <t>Camisa Polycotton - 33% algodão ou viscose, 67% poliéster, gramatura do tecido: 191 gramas. Marca Cedro ou similar.</t>
  </si>
  <si>
    <t>Par de Coturnos - Couro com cano de lona na cor preta, sem zíper lateral, estilo militar, semicromo,certificação do INMETRO. Marca Arroyo ou similar.</t>
  </si>
  <si>
    <t>Quepe - Armação leve de couro, fibra ou material semelhante; pala inclinada com 125 graus, cobertura de tecido modelo da PM de Minas Gerais ou similar.</t>
  </si>
  <si>
    <t>TOTAL</t>
  </si>
  <si>
    <t>PREÇO MÁXIMO TOTAL (R$)</t>
  </si>
  <si>
    <t>PREÇO MÁXIMO - UNIDADE (R$)</t>
  </si>
  <si>
    <t>NÚMERO DE PEÇAS POR VIGILANTE</t>
  </si>
  <si>
    <t>QUANTIDADE DE VIGILANTES</t>
  </si>
  <si>
    <t>CUSTO ANUAL - PREVISÃO - POR TIPO DE PEÇA (R$)</t>
  </si>
  <si>
    <t>CUSTO TOTAL POR VIGILANTE</t>
  </si>
  <si>
    <r>
      <rPr>
        <b/>
        <sz val="10"/>
        <rFont val="Calibri"/>
        <family val="2"/>
        <scheme val="minor"/>
      </rPr>
      <t>Capa Colete Balístico</t>
    </r>
    <r>
      <rPr>
        <sz val="10"/>
        <rFont val="Calibri"/>
        <family val="2"/>
        <scheme val="minor"/>
      </rPr>
      <t xml:space="preserve"> - Perfeito ajuste ao corpo, para ser utilizado de maneira dissimulada, de forma que não comprometa nenhuma área do proteção e ainda otimizar a relação existente entre resistência e comodidade de uso, com liberdade para os movimentos. </t>
    </r>
  </si>
  <si>
    <r>
      <rPr>
        <b/>
        <sz val="10"/>
        <rFont val="Calibri"/>
        <family val="2"/>
        <scheme val="minor"/>
      </rPr>
      <t>Agasalho Polycotton</t>
    </r>
    <r>
      <rPr>
        <sz val="10"/>
        <rFont val="Calibri"/>
        <family val="2"/>
        <scheme val="minor"/>
      </rPr>
      <t xml:space="preserve"> - 33% algodão e 67% poliéster, gramatura do tecido: 226 gramas, tipo jaqueta/japona, com zíper. Marca Cedro ou similar.</t>
    </r>
  </si>
  <si>
    <r>
      <rPr>
        <b/>
        <sz val="10"/>
        <rFont val="Calibri"/>
        <family val="2"/>
        <scheme val="minor"/>
      </rPr>
      <t xml:space="preserve">Calça Polycotton </t>
    </r>
    <r>
      <rPr>
        <sz val="10"/>
        <rFont val="Calibri"/>
        <family val="2"/>
        <scheme val="minor"/>
      </rPr>
      <t>- 33% algodão ou viscose, 67% poliéster, gramatura do tecido: 226 gramas, bolso faca nas laterais superiores, 2 bolsos traseiros, cós com forro do mesmo tecido, elástico nas barras. Marca Cedro ou similar.</t>
    </r>
  </si>
  <si>
    <r>
      <rPr>
        <b/>
        <sz val="10"/>
        <rFont val="Calibri"/>
        <family val="2"/>
        <scheme val="minor"/>
      </rPr>
      <t>Camisa Polycotton</t>
    </r>
    <r>
      <rPr>
        <sz val="10"/>
        <rFont val="Calibri"/>
        <family val="2"/>
        <scheme val="minor"/>
      </rPr>
      <t xml:space="preserve"> - 33% algodão ou viscose, 67% poliéster, gramatura do tecido: 191 gramas. Marca Cedro ou similar.</t>
    </r>
  </si>
  <si>
    <r>
      <rPr>
        <b/>
        <sz val="10"/>
        <rFont val="Calibri"/>
        <family val="2"/>
        <scheme val="minor"/>
      </rPr>
      <t>Par de Coturnos</t>
    </r>
    <r>
      <rPr>
        <sz val="10"/>
        <rFont val="Calibri"/>
        <family val="2"/>
        <scheme val="minor"/>
      </rPr>
      <t xml:space="preserve"> - Couro com cano de lona na cor preta, sem zíper lateral, estilo militar, semicromo,certificação do INMETRO. Marca Arroyo ou similar.</t>
    </r>
  </si>
  <si>
    <r>
      <rPr>
        <b/>
        <sz val="10"/>
        <rFont val="Calibri"/>
        <family val="2"/>
        <scheme val="minor"/>
      </rPr>
      <t>Quepe</t>
    </r>
    <r>
      <rPr>
        <sz val="10"/>
        <rFont val="Calibri"/>
        <family val="2"/>
        <scheme val="minor"/>
      </rPr>
      <t xml:space="preserve"> - Armação leve de couro, fibra ou material semelhante; pala inclinada com 125 graus, cobertura de tecido modelo da PM de Minas Gerais ou similar.</t>
    </r>
  </si>
  <si>
    <t>APENSO VI - Planilha de Estimativa de Uniformes</t>
  </si>
  <si>
    <t xml:space="preserve">             MAPA DE ANÁLISE -  Uniformes Vigilantes. 24/05/2017</t>
  </si>
  <si>
    <t>MELHORES PREÇOS</t>
  </si>
  <si>
    <t>COTAÇÃO ZÊNITE</t>
  </si>
  <si>
    <t>* Considerando que as coletas realizadas junto aos fornecedores possuem mais de 180 dias, foi realizada a atualização dos valores com base na variação do IPCA/IBGE de novembro/2016 a abril/2017, conforme índice informado pela Diretoria de Orçamento (1,5902%)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</si>
</sst>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 applyAlignment="1">
      <alignment horizontal="center" vertical="center" wrapText="1"/>
    </xf>
    <xf numFmtId="164" fontId="7" fillId="0" borderId="4" xfId="2" applyFont="1" applyFill="1" applyBorder="1" applyAlignment="1" applyProtection="1">
      <alignment horizontal="center" vertical="center"/>
    </xf>
    <xf numFmtId="3" fontId="7" fillId="0" borderId="4" xfId="0" applyNumberFormat="1" applyFont="1" applyBorder="1" applyAlignment="1" applyProtection="1">
      <alignment horizontal="center" vertical="center"/>
    </xf>
    <xf numFmtId="43" fontId="7" fillId="0" borderId="4" xfId="1" applyFont="1" applyBorder="1" applyAlignment="1" applyProtection="1">
      <alignment horizontal="justify" vertical="center"/>
    </xf>
    <xf numFmtId="3" fontId="7" fillId="0" borderId="4" xfId="2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164" fontId="9" fillId="4" borderId="4" xfId="0" applyNumberFormat="1" applyFont="1" applyFill="1" applyBorder="1" applyProtection="1"/>
    <xf numFmtId="43" fontId="9" fillId="4" borderId="4" xfId="0" applyNumberFormat="1" applyFont="1" applyFill="1" applyBorder="1" applyProtection="1"/>
    <xf numFmtId="4" fontId="0" fillId="0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4" fontId="0" fillId="0" borderId="4" xfId="0" applyNumberFormat="1" applyFont="1" applyBorder="1" applyAlignment="1">
      <alignment horizontal="center" vertical="center"/>
    </xf>
    <xf numFmtId="4" fontId="0" fillId="5" borderId="4" xfId="0" applyNumberFormat="1" applyFont="1" applyFill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left" vertical="center" wrapText="1"/>
    </xf>
    <xf numFmtId="4" fontId="0" fillId="0" borderId="4" xfId="0" applyNumberFormat="1" applyFont="1" applyFill="1" applyBorder="1" applyAlignment="1">
      <alignment horizontal="justify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right" vertical="center"/>
      <protection locked="0"/>
    </xf>
    <xf numFmtId="0" fontId="2" fillId="2" borderId="4" xfId="0" applyFont="1" applyFill="1" applyBorder="1" applyAlignment="1" applyProtection="1">
      <alignment horizontal="right" vertical="top"/>
      <protection locked="0"/>
    </xf>
    <xf numFmtId="43" fontId="5" fillId="0" borderId="4" xfId="1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center"/>
    </xf>
    <xf numFmtId="0" fontId="8" fillId="4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3" fontId="8" fillId="4" borderId="5" xfId="0" applyNumberFormat="1" applyFont="1" applyFill="1" applyBorder="1" applyAlignment="1">
      <alignment horizontal="center" vertical="center"/>
    </xf>
    <xf numFmtId="3" fontId="8" fillId="4" borderId="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 applyProtection="1">
      <alignment horizontal="right" vertical="center"/>
      <protection locked="0"/>
    </xf>
    <xf numFmtId="0" fontId="0" fillId="0" borderId="4" xfId="0" applyBorder="1" applyAlignment="1">
      <alignment horizontal="center" vertical="center" wrapText="1"/>
    </xf>
  </cellXfs>
  <cellStyles count="3">
    <cellStyle name="Normal" xfId="0" builtinId="0"/>
    <cellStyle name="Separador de milhares 21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3</xdr:col>
      <xdr:colOff>820881</xdr:colOff>
      <xdr:row>0</xdr:row>
      <xdr:rowOff>714375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"/>
          <a:ext cx="2649681" cy="7143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view="pageBreakPreview" topLeftCell="A4" zoomScaleNormal="100" zoomScaleSheetLayoutView="100" workbookViewId="0">
      <selection activeCell="J5" sqref="J5:J10"/>
    </sheetView>
  </sheetViews>
  <sheetFormatPr defaultRowHeight="15" x14ac:dyDescent="0.25"/>
  <cols>
    <col min="4" max="4" width="51.5703125" customWidth="1"/>
    <col min="7" max="8" width="15.42578125" customWidth="1"/>
    <col min="9" max="9" width="15.7109375" customWidth="1"/>
    <col min="10" max="10" width="12.7109375" customWidth="1"/>
    <col min="11" max="11" width="19.28515625" customWidth="1"/>
  </cols>
  <sheetData>
    <row r="1" spans="1:11" ht="60" customHeight="1" x14ac:dyDescent="0.25"/>
    <row r="2" spans="1:11" ht="33" customHeight="1" x14ac:dyDescent="0.25">
      <c r="A2" s="36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15" customHeight="1" x14ac:dyDescent="0.25">
      <c r="A3" s="32" t="s">
        <v>0</v>
      </c>
      <c r="B3" s="34" t="s">
        <v>1</v>
      </c>
      <c r="C3" s="32" t="s">
        <v>2</v>
      </c>
      <c r="D3" s="32"/>
      <c r="E3" s="32"/>
      <c r="F3" s="32"/>
      <c r="G3" s="30" t="s">
        <v>21</v>
      </c>
      <c r="H3" s="30" t="s">
        <v>22</v>
      </c>
      <c r="I3" s="30" t="s">
        <v>23</v>
      </c>
      <c r="J3" s="30" t="s">
        <v>24</v>
      </c>
      <c r="K3" s="30" t="s">
        <v>25</v>
      </c>
    </row>
    <row r="4" spans="1:11" ht="27" customHeight="1" x14ac:dyDescent="0.25">
      <c r="A4" s="33"/>
      <c r="B4" s="35"/>
      <c r="C4" s="33"/>
      <c r="D4" s="33"/>
      <c r="E4" s="33"/>
      <c r="F4" s="33"/>
      <c r="G4" s="30"/>
      <c r="H4" s="30"/>
      <c r="I4" s="30"/>
      <c r="J4" s="30"/>
      <c r="K4" s="30"/>
    </row>
    <row r="5" spans="1:11" ht="69" customHeight="1" x14ac:dyDescent="0.25">
      <c r="A5" s="3">
        <v>1</v>
      </c>
      <c r="B5" s="3">
        <v>105</v>
      </c>
      <c r="C5" s="31" t="s">
        <v>27</v>
      </c>
      <c r="D5" s="31"/>
      <c r="E5" s="31"/>
      <c r="F5" s="31"/>
      <c r="G5" s="4">
        <v>13522.0719004</v>
      </c>
      <c r="H5" s="2">
        <f>G5/B5</f>
        <v>128.78163714666667</v>
      </c>
      <c r="I5" s="5">
        <v>1</v>
      </c>
      <c r="J5" s="39">
        <v>105</v>
      </c>
      <c r="K5" s="2">
        <f t="shared" ref="K5:K10" si="0">H5*I5*$J$5</f>
        <v>13522.0719004</v>
      </c>
    </row>
    <row r="6" spans="1:11" ht="45" customHeight="1" x14ac:dyDescent="0.25">
      <c r="A6" s="6">
        <v>2</v>
      </c>
      <c r="B6" s="7">
        <v>105</v>
      </c>
      <c r="C6" s="31" t="s">
        <v>28</v>
      </c>
      <c r="D6" s="31"/>
      <c r="E6" s="31"/>
      <c r="F6" s="31"/>
      <c r="G6" s="4">
        <v>18255.0986037</v>
      </c>
      <c r="H6" s="2">
        <f t="shared" ref="H6:H10" si="1">G6/B6</f>
        <v>173.85808194000001</v>
      </c>
      <c r="I6" s="5">
        <v>1</v>
      </c>
      <c r="J6" s="39"/>
      <c r="K6" s="2">
        <f t="shared" si="0"/>
        <v>18255.0986037</v>
      </c>
    </row>
    <row r="7" spans="1:11" ht="51" customHeight="1" x14ac:dyDescent="0.25">
      <c r="A7" s="6">
        <v>3</v>
      </c>
      <c r="B7" s="7">
        <v>210</v>
      </c>
      <c r="C7" s="31" t="s">
        <v>29</v>
      </c>
      <c r="D7" s="31"/>
      <c r="E7" s="31"/>
      <c r="F7" s="31"/>
      <c r="G7" s="4">
        <v>20476.127909160001</v>
      </c>
      <c r="H7" s="2">
        <f t="shared" si="1"/>
        <v>97.505370996000011</v>
      </c>
      <c r="I7" s="5">
        <v>2</v>
      </c>
      <c r="J7" s="39"/>
      <c r="K7" s="2">
        <f t="shared" si="0"/>
        <v>20476.127909160001</v>
      </c>
    </row>
    <row r="8" spans="1:11" ht="45.75" customHeight="1" x14ac:dyDescent="0.25">
      <c r="A8" s="6">
        <v>4</v>
      </c>
      <c r="B8" s="7">
        <v>210</v>
      </c>
      <c r="C8" s="31" t="s">
        <v>30</v>
      </c>
      <c r="D8" s="31"/>
      <c r="E8" s="31"/>
      <c r="F8" s="31"/>
      <c r="G8" s="4">
        <v>9163.9198000000015</v>
      </c>
      <c r="H8" s="2">
        <f t="shared" si="1"/>
        <v>43.637713333333338</v>
      </c>
      <c r="I8" s="5">
        <v>2</v>
      </c>
      <c r="J8" s="39"/>
      <c r="K8" s="2">
        <f t="shared" si="0"/>
        <v>9163.9198000000015</v>
      </c>
    </row>
    <row r="9" spans="1:11" ht="40.5" customHeight="1" x14ac:dyDescent="0.25">
      <c r="A9" s="6">
        <v>5</v>
      </c>
      <c r="B9" s="7">
        <v>105</v>
      </c>
      <c r="C9" s="31" t="s">
        <v>31</v>
      </c>
      <c r="D9" s="31"/>
      <c r="E9" s="31"/>
      <c r="F9" s="31"/>
      <c r="G9" s="4">
        <v>10770.97396725</v>
      </c>
      <c r="H9" s="2">
        <f t="shared" si="1"/>
        <v>102.58070445</v>
      </c>
      <c r="I9" s="5">
        <v>1</v>
      </c>
      <c r="J9" s="39"/>
      <c r="K9" s="2">
        <f t="shared" si="0"/>
        <v>10770.97396725</v>
      </c>
    </row>
    <row r="10" spans="1:11" ht="49.5" customHeight="1" x14ac:dyDescent="0.25">
      <c r="A10" s="6">
        <v>6</v>
      </c>
      <c r="B10" s="7">
        <v>105</v>
      </c>
      <c r="C10" s="31" t="s">
        <v>32</v>
      </c>
      <c r="D10" s="31"/>
      <c r="E10" s="31"/>
      <c r="F10" s="31"/>
      <c r="G10" s="4">
        <v>6403.3623759000002</v>
      </c>
      <c r="H10" s="2">
        <f t="shared" si="1"/>
        <v>60.984403579999999</v>
      </c>
      <c r="I10" s="5">
        <v>1</v>
      </c>
      <c r="J10" s="39"/>
      <c r="K10" s="2">
        <f t="shared" si="0"/>
        <v>6403.3623759000002</v>
      </c>
    </row>
    <row r="11" spans="1:11" ht="15.75" x14ac:dyDescent="0.25">
      <c r="A11" s="28" t="s">
        <v>20</v>
      </c>
      <c r="B11" s="28"/>
      <c r="C11" s="28"/>
      <c r="D11" s="28"/>
      <c r="E11" s="28"/>
      <c r="F11" s="28"/>
      <c r="G11" s="28"/>
      <c r="H11" s="28"/>
      <c r="I11" s="28"/>
      <c r="J11" s="28"/>
      <c r="K11" s="8">
        <f>SUM(K5:K10)</f>
        <v>78591.554556410003</v>
      </c>
    </row>
    <row r="12" spans="1:11" ht="15.75" x14ac:dyDescent="0.25">
      <c r="A12" s="29" t="s">
        <v>26</v>
      </c>
      <c r="B12" s="29"/>
      <c r="C12" s="29"/>
      <c r="D12" s="29"/>
      <c r="E12" s="29"/>
      <c r="F12" s="29"/>
      <c r="G12" s="29"/>
      <c r="H12" s="29"/>
      <c r="I12" s="29"/>
      <c r="J12" s="29"/>
      <c r="K12" s="9">
        <f>K11/J5/12</f>
        <v>62.374249647944445</v>
      </c>
    </row>
  </sheetData>
  <sheetProtection algorithmName="SHA-512" hashValue="5I7IbiV3xL5HWNFGIdM9C0WX4x2EjVtftrW6qlqEJ1TJtLrn2kVQiMM6brcCXLeQ+hcVUqe7IOeCLVRgOOa1wg==" saltValue="n6L5+/+UlIqjbf4ZG5Cdgg==" spinCount="100000" sheet="1" objects="1" scenarios="1"/>
  <mergeCells count="18">
    <mergeCell ref="K3:K4"/>
    <mergeCell ref="A2:K2"/>
    <mergeCell ref="J5:J10"/>
    <mergeCell ref="A11:J11"/>
    <mergeCell ref="A12:J12"/>
    <mergeCell ref="G3:G4"/>
    <mergeCell ref="H3:H4"/>
    <mergeCell ref="I3:I4"/>
    <mergeCell ref="C5:F5"/>
    <mergeCell ref="C6:F6"/>
    <mergeCell ref="C7:F7"/>
    <mergeCell ref="C8:F8"/>
    <mergeCell ref="C9:F9"/>
    <mergeCell ref="C10:F10"/>
    <mergeCell ref="A3:A4"/>
    <mergeCell ref="B3:B4"/>
    <mergeCell ref="C3:F4"/>
    <mergeCell ref="J3:J4"/>
  </mergeCells>
  <pageMargins left="0.511811024" right="0.511811024" top="0.78740157499999996" bottom="0.78740157499999996" header="0.31496062000000002" footer="0.31496062000000002"/>
  <pageSetup paperSize="9" scale="52" orientation="portrait" horizontalDpi="0" verticalDpi="0" r:id="rId1"/>
  <ignoredErrors>
    <ignoredError sqref="K6 K8:K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2"/>
  <sheetViews>
    <sheetView topLeftCell="B1" workbookViewId="0">
      <selection activeCell="P17" sqref="P17"/>
    </sheetView>
  </sheetViews>
  <sheetFormatPr defaultRowHeight="15" x14ac:dyDescent="0.25"/>
  <cols>
    <col min="5" max="5" width="51.5703125" customWidth="1"/>
    <col min="16" max="16" width="12.140625" customWidth="1"/>
    <col min="17" max="18" width="15" customWidth="1"/>
  </cols>
  <sheetData>
    <row r="2" spans="1:18" x14ac:dyDescent="0.25">
      <c r="A2" s="46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8" ht="16.5" customHeight="1" x14ac:dyDescent="0.25">
      <c r="A3" s="43" t="s">
        <v>0</v>
      </c>
      <c r="B3" s="44" t="s">
        <v>1</v>
      </c>
      <c r="C3" s="43" t="s">
        <v>2</v>
      </c>
      <c r="D3" s="43"/>
      <c r="E3" s="43"/>
      <c r="F3" s="43"/>
      <c r="G3" s="47" t="s">
        <v>3</v>
      </c>
      <c r="H3" s="47"/>
      <c r="I3" s="47"/>
      <c r="J3" s="47"/>
      <c r="K3" s="47"/>
      <c r="L3" s="47"/>
      <c r="M3" s="47"/>
      <c r="N3" s="47"/>
      <c r="O3" s="12"/>
      <c r="P3" s="12"/>
      <c r="Q3" s="45" t="s">
        <v>4</v>
      </c>
      <c r="R3" s="47" t="s">
        <v>5</v>
      </c>
    </row>
    <row r="4" spans="1:18" ht="45" x14ac:dyDescent="0.25">
      <c r="A4" s="43"/>
      <c r="B4" s="44"/>
      <c r="C4" s="43"/>
      <c r="D4" s="43"/>
      <c r="E4" s="43"/>
      <c r="F4" s="43"/>
      <c r="G4" s="13" t="s">
        <v>6</v>
      </c>
      <c r="H4" s="12" t="s">
        <v>7</v>
      </c>
      <c r="I4" s="12" t="s">
        <v>8</v>
      </c>
      <c r="J4" s="12" t="s">
        <v>9</v>
      </c>
      <c r="K4" s="14" t="s">
        <v>10</v>
      </c>
      <c r="L4" s="15" t="s">
        <v>11</v>
      </c>
      <c r="M4" s="15" t="s">
        <v>12</v>
      </c>
      <c r="N4" s="13" t="s">
        <v>13</v>
      </c>
      <c r="O4" s="12" t="s">
        <v>35</v>
      </c>
      <c r="P4" s="12" t="s">
        <v>36</v>
      </c>
      <c r="Q4" s="45"/>
      <c r="R4" s="47"/>
    </row>
    <row r="5" spans="1:18" ht="69" customHeight="1" x14ac:dyDescent="0.25">
      <c r="A5" s="16">
        <v>1</v>
      </c>
      <c r="B5" s="16">
        <v>105</v>
      </c>
      <c r="C5" s="40" t="s">
        <v>14</v>
      </c>
      <c r="D5" s="41"/>
      <c r="E5" s="41"/>
      <c r="F5" s="42"/>
      <c r="G5" s="17"/>
      <c r="H5" s="17"/>
      <c r="I5" s="10">
        <f>(B5*120)*1.015902</f>
        <v>12800.3652</v>
      </c>
      <c r="J5" s="17"/>
      <c r="K5" s="11">
        <f>(B5*233.85)*1.015902</f>
        <v>24944.711683500002</v>
      </c>
      <c r="L5" s="11">
        <f>(B5*64)*1.015902</f>
        <v>6826.8614400000006</v>
      </c>
      <c r="M5" s="11">
        <f>4788*1.015902</f>
        <v>4864.1387760000007</v>
      </c>
      <c r="N5" s="18">
        <f>(B5*99.99)*1.015902</f>
        <v>10665.9043029</v>
      </c>
      <c r="O5" s="18"/>
      <c r="P5" s="19">
        <f>B5*200.29</f>
        <v>21030.45</v>
      </c>
      <c r="Q5" s="11">
        <f t="shared" ref="Q5:Q10" si="0">R5/B5</f>
        <v>128.78163714666667</v>
      </c>
      <c r="R5" s="18">
        <f t="shared" ref="R5:R10" si="1">AVERAGE(G5:P5)</f>
        <v>13522.0719004</v>
      </c>
    </row>
    <row r="6" spans="1:18" ht="45" customHeight="1" x14ac:dyDescent="0.25">
      <c r="A6" s="20">
        <v>2</v>
      </c>
      <c r="B6" s="1">
        <v>105</v>
      </c>
      <c r="C6" s="48" t="s">
        <v>15</v>
      </c>
      <c r="D6" s="48"/>
      <c r="E6" s="48"/>
      <c r="F6" s="48"/>
      <c r="G6" s="10">
        <f>(B6*198)*1.015902</f>
        <v>21120.602580000002</v>
      </c>
      <c r="H6" s="17"/>
      <c r="I6" s="10"/>
      <c r="J6" s="10">
        <f>(B6*179)*1.015902</f>
        <v>19093.878090000002</v>
      </c>
      <c r="K6" s="11"/>
      <c r="L6" s="21"/>
      <c r="M6" s="11"/>
      <c r="N6" s="18"/>
      <c r="O6" s="18"/>
      <c r="P6" s="19">
        <f>(B6*136.41)*1.015902</f>
        <v>14550.8151411</v>
      </c>
      <c r="Q6" s="11">
        <f t="shared" si="0"/>
        <v>173.85808194000001</v>
      </c>
      <c r="R6" s="18">
        <f t="shared" si="1"/>
        <v>18255.0986037</v>
      </c>
    </row>
    <row r="7" spans="1:18" ht="51" customHeight="1" x14ac:dyDescent="0.25">
      <c r="A7" s="20">
        <v>3</v>
      </c>
      <c r="B7" s="1">
        <v>210</v>
      </c>
      <c r="C7" s="40" t="s">
        <v>16</v>
      </c>
      <c r="D7" s="41"/>
      <c r="E7" s="41"/>
      <c r="F7" s="42"/>
      <c r="G7" s="10">
        <f>(B7*98)*1.015902</f>
        <v>20907.263160000002</v>
      </c>
      <c r="H7" s="10">
        <f>(B7*149.99)*1.015902</f>
        <v>31998.779605800006</v>
      </c>
      <c r="I7" s="10"/>
      <c r="J7" s="22">
        <f>(B7*109)*1.015902</f>
        <v>23253.996780000001</v>
      </c>
      <c r="K7" s="11"/>
      <c r="L7" s="21"/>
      <c r="M7" s="11"/>
      <c r="N7" s="18"/>
      <c r="O7" s="19">
        <f>B7*33.89</f>
        <v>7116.9000000000005</v>
      </c>
      <c r="P7" s="19">
        <f>B7*90.97</f>
        <v>19103.7</v>
      </c>
      <c r="Q7" s="11">
        <f t="shared" si="0"/>
        <v>97.505370996000011</v>
      </c>
      <c r="R7" s="18">
        <f t="shared" si="1"/>
        <v>20476.127909160001</v>
      </c>
    </row>
    <row r="8" spans="1:18" ht="45.75" customHeight="1" x14ac:dyDescent="0.25">
      <c r="A8" s="20">
        <v>4</v>
      </c>
      <c r="B8" s="1">
        <v>210</v>
      </c>
      <c r="C8" s="40" t="s">
        <v>17</v>
      </c>
      <c r="D8" s="41"/>
      <c r="E8" s="41"/>
      <c r="F8" s="42"/>
      <c r="G8" s="23">
        <f>(B8*70)*1.015902</f>
        <v>14933.759400000001</v>
      </c>
      <c r="H8" s="17"/>
      <c r="I8" s="10"/>
      <c r="J8" s="17"/>
      <c r="K8" s="11"/>
      <c r="L8" s="24"/>
      <c r="M8" s="11"/>
      <c r="N8" s="18"/>
      <c r="O8" s="19">
        <f>B8*16.33</f>
        <v>3429.2999999999997</v>
      </c>
      <c r="P8" s="19">
        <f>B8*43.47</f>
        <v>9128.6999999999989</v>
      </c>
      <c r="Q8" s="11">
        <f t="shared" si="0"/>
        <v>43.637713333333338</v>
      </c>
      <c r="R8" s="18">
        <f t="shared" si="1"/>
        <v>9163.9198000000015</v>
      </c>
    </row>
    <row r="9" spans="1:18" ht="40.5" customHeight="1" x14ac:dyDescent="0.25">
      <c r="A9" s="20">
        <v>5</v>
      </c>
      <c r="B9" s="1">
        <v>105</v>
      </c>
      <c r="C9" s="40" t="s">
        <v>18</v>
      </c>
      <c r="D9" s="41"/>
      <c r="E9" s="41"/>
      <c r="F9" s="42"/>
      <c r="G9" s="17"/>
      <c r="H9" s="17"/>
      <c r="I9" s="10">
        <f>(B9*150)*1.015902</f>
        <v>16000.456500000002</v>
      </c>
      <c r="J9" s="10">
        <f>(B9*109)*1.015902</f>
        <v>11626.998390000001</v>
      </c>
      <c r="K9" s="11">
        <f>(B9*95)*1.015902</f>
        <v>10133.622450000001</v>
      </c>
      <c r="L9" s="21"/>
      <c r="M9" s="11">
        <f>(B9*49.9)*1.015902</f>
        <v>5322.8185290000001</v>
      </c>
      <c r="N9" s="18"/>
      <c r="O9" s="18"/>
      <c r="P9" s="18"/>
      <c r="Q9" s="11">
        <f t="shared" si="0"/>
        <v>102.58070445</v>
      </c>
      <c r="R9" s="18">
        <f t="shared" si="1"/>
        <v>10770.97396725</v>
      </c>
    </row>
    <row r="10" spans="1:18" ht="49.5" customHeight="1" x14ac:dyDescent="0.25">
      <c r="A10" s="20">
        <v>6</v>
      </c>
      <c r="B10" s="1">
        <v>105</v>
      </c>
      <c r="C10" s="40" t="s">
        <v>19</v>
      </c>
      <c r="D10" s="41"/>
      <c r="E10" s="41"/>
      <c r="F10" s="42"/>
      <c r="G10" s="17"/>
      <c r="H10" s="17"/>
      <c r="I10" s="17"/>
      <c r="J10" s="10">
        <f>(B10*28.9)*1.015902</f>
        <v>3082.7546190000003</v>
      </c>
      <c r="K10" s="11"/>
      <c r="L10" s="21"/>
      <c r="M10" s="21"/>
      <c r="N10" s="18">
        <f>(B10*59.97)*1.015902</f>
        <v>6396.9825086999999</v>
      </c>
      <c r="O10" s="18"/>
      <c r="P10" s="19">
        <f>B10*92.67</f>
        <v>9730.35</v>
      </c>
      <c r="Q10" s="11">
        <f t="shared" si="0"/>
        <v>60.984403579999999</v>
      </c>
      <c r="R10" s="18">
        <f t="shared" si="1"/>
        <v>6403.3623759000002</v>
      </c>
    </row>
    <row r="11" spans="1:18" x14ac:dyDescent="0.25">
      <c r="A11" s="49" t="s">
        <v>20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25"/>
      <c r="P11" s="25"/>
      <c r="Q11" s="26"/>
      <c r="R11" s="27">
        <f>SUM(R5:R10)</f>
        <v>78591.554556410003</v>
      </c>
    </row>
    <row r="12" spans="1:18" x14ac:dyDescent="0.25">
      <c r="A12" s="50" t="s">
        <v>37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</sheetData>
  <mergeCells count="15">
    <mergeCell ref="A11:N11"/>
    <mergeCell ref="A12:R12"/>
    <mergeCell ref="A3:A4"/>
    <mergeCell ref="B3:B4"/>
    <mergeCell ref="Q3:Q4"/>
    <mergeCell ref="A2:R2"/>
    <mergeCell ref="C3:F4"/>
    <mergeCell ref="G3:N3"/>
    <mergeCell ref="R3:R4"/>
    <mergeCell ref="C5:F5"/>
    <mergeCell ref="C7:F7"/>
    <mergeCell ref="C8:F8"/>
    <mergeCell ref="C9:F9"/>
    <mergeCell ref="C10:F10"/>
    <mergeCell ref="C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APENSO UNIFORME</vt:lpstr>
      <vt:lpstr>MAPA DE ANÁLISE</vt:lpstr>
    </vt:vector>
  </TitlesOfParts>
  <Company>Ministério Público do Estado de Minas Gerais - MPMG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REGINA RIBEIRO</dc:creator>
  <cp:lastModifiedBy>Juliana Silva Teixeira</cp:lastModifiedBy>
  <dcterms:created xsi:type="dcterms:W3CDTF">2016-12-20T14:42:18Z</dcterms:created>
  <dcterms:modified xsi:type="dcterms:W3CDTF">2017-06-07T14:32:55Z</dcterms:modified>
</cp:coreProperties>
</file>