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CTEKA\OneDrive - Docteka\Área de Trabalho\David\DOCTEKA\PROJETOS\MINAS GERAIS\MINISTÉRIO PÚBLICO DO ESTADO DE MINAS GERAIS\"/>
    </mc:Choice>
  </mc:AlternateContent>
  <xr:revisionPtr revIDLastSave="313" documentId="13_ncr:1_{ABCF9F6A-B7B2-40D5-BD0A-9E3BDD531472}" xr6:coauthVersionLast="45" xr6:coauthVersionMax="45" xr10:uidLastSave="{545ABAEE-9FE5-4B1C-A8EE-756C43214D5E}"/>
  <bookViews>
    <workbookView xWindow="-110" yWindow="-110" windowWidth="19420" windowHeight="10420" firstSheet="2" activeTab="2" xr2:uid="{00000000-000D-0000-FFFF-FFFF00000000}"/>
  </bookViews>
  <sheets>
    <sheet name="Supervisor" sheetId="1" state="hidden" r:id="rId1"/>
    <sheet name="Digitadores" sheetId="12" state="hidden" r:id="rId2"/>
    <sheet name="Auxiliares" sheetId="13" r:id="rId3"/>
    <sheet name="Planilha de Custo - Total" sheetId="2" r:id="rId4"/>
  </sheets>
  <definedNames>
    <definedName name="_xlnm.Print_Area" localSheetId="2">Auxiliares!$A$1:$F$147</definedName>
    <definedName name="_xlnm.Print_Area" localSheetId="1">Digitadores!$A$1:$F$147</definedName>
    <definedName name="_xlnm.Print_Area" localSheetId="3">'Planilha de Custo - Total'!$A$1:$L$34</definedName>
    <definedName name="_xlnm.Print_Area" localSheetId="0">Supervisor!$A$1:$F$147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0" i="13" l="1"/>
  <c r="F102" i="13"/>
  <c r="G4" i="2"/>
  <c r="E111" i="13"/>
  <c r="F111" i="13"/>
  <c r="H4" i="2"/>
  <c r="J4" i="2"/>
  <c r="K4" i="2"/>
  <c r="L4" i="2"/>
  <c r="E73" i="1"/>
  <c r="E110" i="13"/>
  <c r="E109" i="13"/>
  <c r="E108" i="13"/>
  <c r="E107" i="13"/>
  <c r="E106" i="13"/>
  <c r="F132" i="13"/>
  <c r="E85" i="13"/>
  <c r="F85" i="13"/>
  <c r="F131" i="13"/>
  <c r="C84" i="13"/>
  <c r="F84" i="13"/>
  <c r="F130" i="13"/>
  <c r="E75" i="13"/>
  <c r="E74" i="13"/>
  <c r="E73" i="13"/>
  <c r="E72" i="13"/>
  <c r="E71" i="13"/>
  <c r="E122" i="13"/>
  <c r="E65" i="13"/>
  <c r="E61" i="13"/>
  <c r="E58" i="13"/>
  <c r="E60" i="13"/>
  <c r="E55" i="13"/>
  <c r="E56" i="13"/>
  <c r="E44" i="13"/>
  <c r="E40" i="13"/>
  <c r="E39" i="13"/>
  <c r="E37" i="13"/>
  <c r="E36" i="13"/>
  <c r="E35" i="13"/>
  <c r="E34" i="13"/>
  <c r="E33" i="13"/>
  <c r="E110" i="12"/>
  <c r="E109" i="12"/>
  <c r="E108" i="12"/>
  <c r="E107" i="12"/>
  <c r="E106" i="12"/>
  <c r="E105" i="12"/>
  <c r="F100" i="12"/>
  <c r="F132" i="12"/>
  <c r="C84" i="12"/>
  <c r="E85" i="12"/>
  <c r="F85" i="12"/>
  <c r="F131" i="12"/>
  <c r="E75" i="12"/>
  <c r="E74" i="12"/>
  <c r="E73" i="12"/>
  <c r="E72" i="12"/>
  <c r="E71" i="12"/>
  <c r="E122" i="12"/>
  <c r="E65" i="12"/>
  <c r="E61" i="12"/>
  <c r="E60" i="12"/>
  <c r="E58" i="12"/>
  <c r="E56" i="12"/>
  <c r="E55" i="12"/>
  <c r="E44" i="12"/>
  <c r="E40" i="12"/>
  <c r="E39" i="12"/>
  <c r="E37" i="12"/>
  <c r="E36" i="12"/>
  <c r="E35" i="12"/>
  <c r="E34" i="12"/>
  <c r="E33" i="12"/>
  <c r="F29" i="12"/>
  <c r="E41" i="13"/>
  <c r="C17" i="13"/>
  <c r="E111" i="12"/>
  <c r="C17" i="12"/>
  <c r="E135" i="12"/>
  <c r="E59" i="12"/>
  <c r="E41" i="12"/>
  <c r="E57" i="13"/>
  <c r="E67" i="13"/>
  <c r="E121" i="13"/>
  <c r="E45" i="13"/>
  <c r="E123" i="13"/>
  <c r="F29" i="13"/>
  <c r="E76" i="12"/>
  <c r="E77" i="12"/>
  <c r="D124" i="12"/>
  <c r="E51" i="12"/>
  <c r="E52" i="12"/>
  <c r="F120" i="12"/>
  <c r="E57" i="12"/>
  <c r="E67" i="12"/>
  <c r="F84" i="12"/>
  <c r="F92" i="12"/>
  <c r="E121" i="12"/>
  <c r="E45" i="12"/>
  <c r="E46" i="12"/>
  <c r="E135" i="13"/>
  <c r="E62" i="12"/>
  <c r="E66" i="13"/>
  <c r="E68" i="13"/>
  <c r="E125" i="13"/>
  <c r="F4" i="2"/>
  <c r="D124" i="13"/>
  <c r="E76" i="13"/>
  <c r="E77" i="13"/>
  <c r="F133" i="13"/>
  <c r="F134" i="13"/>
  <c r="E124" i="13"/>
  <c r="E126" i="13"/>
  <c r="E51" i="13"/>
  <c r="E52" i="13"/>
  <c r="E59" i="13"/>
  <c r="E62" i="13"/>
  <c r="E46" i="13"/>
  <c r="E47" i="13"/>
  <c r="F92" i="13"/>
  <c r="F95" i="13"/>
  <c r="F120" i="13"/>
  <c r="E66" i="12"/>
  <c r="E68" i="12"/>
  <c r="E125" i="12"/>
  <c r="E123" i="12"/>
  <c r="E124" i="12"/>
  <c r="F124" i="12"/>
  <c r="E47" i="12"/>
  <c r="F122" i="12"/>
  <c r="F121" i="12"/>
  <c r="F133" i="12"/>
  <c r="F130" i="12"/>
  <c r="F95" i="12"/>
  <c r="F135" i="13"/>
  <c r="F136" i="13"/>
  <c r="F138" i="13"/>
  <c r="F123" i="12"/>
  <c r="E79" i="13"/>
  <c r="F79" i="13"/>
  <c r="E126" i="12"/>
  <c r="F122" i="13"/>
  <c r="F125" i="13"/>
  <c r="F123" i="13"/>
  <c r="F121" i="13"/>
  <c r="F124" i="13"/>
  <c r="F134" i="12"/>
  <c r="F135" i="12"/>
  <c r="F136" i="12"/>
  <c r="F138" i="12"/>
  <c r="E79" i="12"/>
  <c r="F79" i="12"/>
  <c r="F102" i="12"/>
  <c r="F125" i="12"/>
  <c r="F126" i="12"/>
  <c r="F126" i="13"/>
  <c r="F111" i="12"/>
  <c r="F113" i="13"/>
  <c r="F117" i="13"/>
  <c r="F113" i="12"/>
  <c r="F115" i="12"/>
  <c r="F117" i="12"/>
  <c r="F115" i="13"/>
  <c r="F29" i="1"/>
  <c r="F120" i="1"/>
  <c r="F92" i="1"/>
  <c r="C84" i="1"/>
  <c r="E85" i="1"/>
  <c r="F85" i="1"/>
  <c r="F131" i="1"/>
  <c r="E61" i="1"/>
  <c r="E39" i="1"/>
  <c r="E40" i="1"/>
  <c r="E37" i="1"/>
  <c r="E36" i="1"/>
  <c r="E35" i="1"/>
  <c r="E34" i="1"/>
  <c r="E75" i="1"/>
  <c r="E74" i="1"/>
  <c r="E72" i="1"/>
  <c r="E71" i="1"/>
  <c r="E122" i="1"/>
  <c r="E65" i="1"/>
  <c r="E58" i="1"/>
  <c r="E60" i="1"/>
  <c r="E55" i="1"/>
  <c r="E56" i="1"/>
  <c r="E57" i="1"/>
  <c r="E44" i="1"/>
  <c r="E45" i="1"/>
  <c r="E66" i="1"/>
  <c r="F100" i="1"/>
  <c r="F132" i="1"/>
  <c r="F84" i="1"/>
  <c r="F130" i="1"/>
  <c r="F95" i="1"/>
  <c r="E121" i="1"/>
  <c r="E123" i="1"/>
  <c r="E67" i="1"/>
  <c r="F122" i="1"/>
  <c r="F121" i="1"/>
  <c r="F123" i="1"/>
  <c r="E33" i="1"/>
  <c r="E41" i="1"/>
  <c r="E110" i="1"/>
  <c r="E109" i="1"/>
  <c r="E107" i="1"/>
  <c r="E108" i="1"/>
  <c r="E106" i="1"/>
  <c r="E105" i="1"/>
  <c r="E124" i="1"/>
  <c r="F124" i="1"/>
  <c r="D124" i="1"/>
  <c r="E59" i="1"/>
  <c r="E76" i="1"/>
  <c r="E77" i="1"/>
  <c r="F133" i="1"/>
  <c r="F134" i="1"/>
  <c r="E111" i="1"/>
  <c r="C17" i="1"/>
  <c r="E68" i="1"/>
  <c r="E125" i="1"/>
  <c r="F125" i="1"/>
  <c r="F126" i="1"/>
  <c r="E135" i="1"/>
  <c r="F135" i="1"/>
  <c r="F136" i="1"/>
  <c r="F138" i="1"/>
  <c r="E126" i="1"/>
  <c r="E62" i="1"/>
  <c r="E51" i="1"/>
  <c r="E52" i="1"/>
  <c r="E46" i="1"/>
  <c r="E47" i="1"/>
  <c r="E79" i="1"/>
  <c r="F79" i="1"/>
  <c r="F102" i="1"/>
  <c r="F111" i="1"/>
  <c r="L5" i="2"/>
  <c r="K5" i="2"/>
  <c r="F113" i="1"/>
  <c r="F117" i="1"/>
  <c r="F115" i="1"/>
  <c r="C3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imgaem</author>
    <author>Usuário do Windows</author>
  </authors>
  <commentList>
    <comment ref="E44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(5/56) x 100 = 8,93%.</t>
        </r>
      </text>
    </comment>
    <comment ref="E45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(1/3)*(5/56) x 100 = 2,98%.
</t>
        </r>
      </text>
    </comment>
    <comment ref="E55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1/12*5% 
Percentual estimado de demissões com aviso prévio indenizado no decorrer do contrato
</t>
        </r>
      </text>
    </comment>
    <comment ref="E56" authorId="0" shapeId="0" xr:uid="{00000000-0006-0000-0000-000004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0,42%*8%
</t>
        </r>
      </text>
    </comment>
    <comment ref="E57" authorId="0" shapeId="0" xr:uid="{00000000-0006-0000-0000-000005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0,42% * 8% *50%</t>
        </r>
      </text>
    </comment>
    <comment ref="E58" authorId="0" shapeId="0" xr:uid="{00000000-0006-0000-0000-000006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(7/30)/12 * 2%
Estima-se que 2% do pessoal é demitido nessa situação.</t>
        </r>
      </text>
    </comment>
    <comment ref="E59" authorId="0" shapeId="0" xr:uid="{00000000-0006-0000-0000-000007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0,04% *[Total do Item I]
</t>
        </r>
      </text>
    </comment>
    <comment ref="E60" authorId="0" shapeId="0" xr:uid="{00000000-0006-0000-0000-000008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0,04% * 8% * 50%</t>
        </r>
      </text>
    </comment>
    <comment ref="E61" authorId="0" shapeId="0" xr:uid="{00000000-0006-0000-0000-000009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(1%*(1/12))
Estima-se que 1% dos empregados são demitidos nesta situação
</t>
        </r>
      </text>
    </comment>
    <comment ref="E65" authorId="0" shapeId="0" xr:uid="{00000000-0006-0000-0000-00000A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1*8%*50%*90%
Considera-se que 90% dos empregados são demitidos sem justa causa.
</t>
        </r>
      </text>
    </comment>
    <comment ref="E66" authorId="0" shapeId="0" xr:uid="{00000000-0006-0000-0000-00000B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(8,93%+2,98%)*8%*50%*90%
</t>
        </r>
      </text>
    </comment>
    <comment ref="E71" authorId="0" shapeId="0" xr:uid="{00000000-0006-0000-0000-00000C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(5/56)</t>
        </r>
      </text>
    </comment>
    <comment ref="E72" authorId="0" shapeId="0" xr:uid="{00000000-0006-0000-0000-00000D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(5,96/30)/12
Estima-se em 5,96 dias o período de substituição de um profissional ausente.</t>
        </r>
      </text>
    </comment>
    <comment ref="E74" authorId="0" shapeId="0" xr:uid="{00000000-0006-0000-0000-00000E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2,96/360</t>
        </r>
      </text>
    </comment>
    <comment ref="E75" authorId="0" shapeId="0" xr:uid="{00000000-0006-0000-0000-00000F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(15/30)/12*0,78%</t>
        </r>
      </text>
    </comment>
    <comment ref="B87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 xml:space="preserve">40% do salário normativo com índice de ocorrência de 0,61%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imgaem</author>
    <author>Usuário do Windows</author>
  </authors>
  <commentList>
    <comment ref="E4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(5/56) x 100 = 8,93%.</t>
        </r>
      </text>
    </comment>
    <comment ref="E45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(1/3)*(5/56) x 100 = 2,98%.
</t>
        </r>
      </text>
    </comment>
    <comment ref="E55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1/12*5% 
Percentual estimado de demissões com aviso prévio indenizado no decorrer do contrato
</t>
        </r>
      </text>
    </comment>
    <comment ref="E56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0,42%*8%
</t>
        </r>
      </text>
    </comment>
    <comment ref="E57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0,42% * 8% *50%</t>
        </r>
      </text>
    </comment>
    <comment ref="E58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(7/30)/12 * 2%
Estima-se que 2% do pessoal é demitido nessa situação.</t>
        </r>
      </text>
    </comment>
    <comment ref="E59" authorId="0" shapeId="0" xr:uid="{00000000-0006-0000-0100-000007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0,04% *[Total do Item I]
</t>
        </r>
      </text>
    </comment>
    <comment ref="E60" authorId="0" shapeId="0" xr:uid="{00000000-0006-0000-0100-000008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0,04% * 8% * 50%</t>
        </r>
      </text>
    </comment>
    <comment ref="E61" authorId="0" shapeId="0" xr:uid="{00000000-0006-0000-0100-000009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(1%*(1/12))
Estima-se que 1% dos empregados são demitidos nesta situação
</t>
        </r>
      </text>
    </comment>
    <comment ref="E65" authorId="0" shapeId="0" xr:uid="{00000000-0006-0000-0100-00000A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1*8%*50%*90%
Considera-se que 90% dos empregados são demitidos sem justa causa.
</t>
        </r>
      </text>
    </comment>
    <comment ref="E66" authorId="0" shapeId="0" xr:uid="{00000000-0006-0000-0100-00000B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(8,93%+2,98%)*8%*50%*90%
</t>
        </r>
      </text>
    </comment>
    <comment ref="E71" authorId="0" shapeId="0" xr:uid="{00000000-0006-0000-0100-00000C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(5/56)</t>
        </r>
      </text>
    </comment>
    <comment ref="E72" authorId="0" shapeId="0" xr:uid="{00000000-0006-0000-0100-00000D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(5,96/30)/12
Estima-se em 5,96 dias o período de substituição de um profissional ausente.</t>
        </r>
      </text>
    </comment>
    <comment ref="E74" authorId="0" shapeId="0" xr:uid="{00000000-0006-0000-0100-00000E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2,96/360</t>
        </r>
      </text>
    </comment>
    <comment ref="E75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(15/30)/12*0,78%</t>
        </r>
      </text>
    </comment>
    <comment ref="B87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40% do salário normativo com índice de ocorrência de 0,61%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imgaem</author>
    <author>Usuário do Windows</author>
  </authors>
  <commentList>
    <comment ref="E44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(5/56) x 100 = 8,93%.</t>
        </r>
      </text>
    </comment>
    <comment ref="E45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(1/3)*(5/56) x 100 = 2,98%.
</t>
        </r>
      </text>
    </comment>
    <comment ref="E55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1/12*5% 
Percentual estimado de demissões com aviso prévio indenizado no decorrer do contrato
</t>
        </r>
      </text>
    </comment>
    <comment ref="E56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0,42%*8%
</t>
        </r>
      </text>
    </comment>
    <comment ref="E57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0,42% * 8% *50%</t>
        </r>
      </text>
    </comment>
    <comment ref="E58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(7/30)/12 * 2%
Estima-se que 2% do pessoal é demitido nessa situação.</t>
        </r>
      </text>
    </comment>
    <comment ref="E59" authorId="0" shapeId="0" xr:uid="{00000000-0006-0000-0200-000007000000}">
      <text>
        <r>
          <rPr>
            <b/>
            <sz val="8"/>
            <color indexed="81"/>
            <rFont val="Tahoma"/>
            <family val="2"/>
          </rPr>
          <t>Cálculo:</t>
        </r>
        <r>
          <rPr>
            <sz val="8"/>
            <color indexed="81"/>
            <rFont val="Tahoma"/>
            <family val="2"/>
          </rPr>
          <t xml:space="preserve"> 0,04% *[Total do Item I]
</t>
        </r>
      </text>
    </comment>
    <comment ref="E60" authorId="0" shapeId="0" xr:uid="{00000000-0006-0000-0200-000008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0,04% * 8% * 50%</t>
        </r>
      </text>
    </comment>
    <comment ref="E61" authorId="0" shapeId="0" xr:uid="{00000000-0006-0000-0200-000009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(1%*(1/12))
Estima-se que 1% dos empregados são demitidos nesta situação
</t>
        </r>
      </text>
    </comment>
    <comment ref="E65" authorId="0" shapeId="0" xr:uid="{00000000-0006-0000-0200-00000A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1*8%*50%*90%
Considera-se que 90% dos empregados são demitidos sem justa causa.
</t>
        </r>
      </text>
    </comment>
    <comment ref="E66" authorId="0" shapeId="0" xr:uid="{00000000-0006-0000-0200-00000B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 xml:space="preserve">(8,93%+2,98%)*8%*50%*90%
</t>
        </r>
      </text>
    </comment>
    <comment ref="E71" authorId="0" shapeId="0" xr:uid="{00000000-0006-0000-0200-00000C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(5/56)</t>
        </r>
      </text>
    </comment>
    <comment ref="E72" authorId="0" shapeId="0" xr:uid="{00000000-0006-0000-0200-00000D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(5,96/30)/12
Estima-se em 5,96 dias o período de substituição de um profissional ausente.</t>
        </r>
      </text>
    </comment>
    <comment ref="E74" authorId="0" shapeId="0" xr:uid="{00000000-0006-0000-0200-00000E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2,96/360</t>
        </r>
      </text>
    </comment>
    <comment ref="E75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 xml:space="preserve">Cálculo: </t>
        </r>
        <r>
          <rPr>
            <sz val="8"/>
            <color indexed="81"/>
            <rFont val="Tahoma"/>
            <family val="2"/>
          </rPr>
          <t>(15/30)/12*0,78%</t>
        </r>
      </text>
    </comment>
    <comment ref="B87" authorId="1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40% do salário normativo com índice de ocorrência de 0,61%
</t>
        </r>
      </text>
    </comment>
  </commentList>
</comments>
</file>

<file path=xl/sharedStrings.xml><?xml version="1.0" encoding="utf-8"?>
<sst xmlns="http://schemas.openxmlformats.org/spreadsheetml/2006/main" count="507" uniqueCount="164">
  <si>
    <t>DADOS DA EMPRESA</t>
  </si>
  <si>
    <t>CNPJ</t>
  </si>
  <si>
    <t>Razão Social</t>
  </si>
  <si>
    <t>Regime Tributário</t>
  </si>
  <si>
    <t>SAT (RATxFAP) (%)</t>
  </si>
  <si>
    <t>ISSQN</t>
  </si>
  <si>
    <t>Nº de dias úteis estimado por mês</t>
  </si>
  <si>
    <t>BDI</t>
  </si>
  <si>
    <t>Qtde</t>
  </si>
  <si>
    <t>PLANILHA DE FORMAÇÃO DE PREÇOS</t>
  </si>
  <si>
    <t>Valor "R$"</t>
  </si>
  <si>
    <t>Adicionais</t>
  </si>
  <si>
    <t>ENCARGOS PREVIDENCIÁRIOS E TRABALHISTAS</t>
  </si>
  <si>
    <t>Módulo I - Encargos previdenciários e FGTS</t>
  </si>
  <si>
    <t>Previdência Social</t>
  </si>
  <si>
    <t>SESI/SESC</t>
  </si>
  <si>
    <t>SENAI/SENAC</t>
  </si>
  <si>
    <t>INCRA</t>
  </si>
  <si>
    <t>Salário Educação</t>
  </si>
  <si>
    <t>FGTS</t>
  </si>
  <si>
    <t>SAT (RAT X FAP)</t>
  </si>
  <si>
    <t>SEBRAE</t>
  </si>
  <si>
    <t>Módulo II - 13º Salário e Adicional de Férias</t>
  </si>
  <si>
    <t>13º  salário</t>
  </si>
  <si>
    <t>Abono de férias</t>
  </si>
  <si>
    <t>Encargos sociais incidentes</t>
  </si>
  <si>
    <t>Módulo III - Afastamento Maternidade</t>
  </si>
  <si>
    <t>Licença maternidade</t>
  </si>
  <si>
    <t>Módulo IV - Provisão para Rescisão</t>
  </si>
  <si>
    <t>Aviso prévio indenizado</t>
  </si>
  <si>
    <t>Incidência FGTS sobre o aviso prévio indenizado</t>
  </si>
  <si>
    <t>Multa FGTS + contribuição social sobre o aviso prévio indenizado</t>
  </si>
  <si>
    <t>Aviso prévio trabalhado</t>
  </si>
  <si>
    <t>Encargos sociais incidentes sobre aviso prévio trabalhado</t>
  </si>
  <si>
    <t>Multa FGTS + contribuição social sobre o aviso prévio trabalhado</t>
  </si>
  <si>
    <t>Indenização Adicional</t>
  </si>
  <si>
    <t>Módulo V - Multa de FGTS e Contribuição Social</t>
  </si>
  <si>
    <t>Remuneração</t>
  </si>
  <si>
    <t>Férias + Adicional de Férias</t>
  </si>
  <si>
    <t>13º Salário</t>
  </si>
  <si>
    <t>Módulo VI - Custo de Reposição do Profissional Ausente</t>
  </si>
  <si>
    <t>Férias</t>
  </si>
  <si>
    <t>Auxílio doença</t>
  </si>
  <si>
    <t>Licença paternidade</t>
  </si>
  <si>
    <t>Faltas legais</t>
  </si>
  <si>
    <t>Acidente de trabalho</t>
  </si>
  <si>
    <t>Total dos Encargos Sociais e Trabalhistas</t>
  </si>
  <si>
    <t>Módulo VII - Insumos e Obrigações Decorrentes de Convenção Coletiva</t>
  </si>
  <si>
    <t>Diário</t>
  </si>
  <si>
    <t>Dias úteis estimados no mês</t>
  </si>
  <si>
    <t>Valor diário</t>
  </si>
  <si>
    <t>Dedução</t>
  </si>
  <si>
    <t xml:space="preserve">Vale Refeição </t>
  </si>
  <si>
    <t>Mensal</t>
  </si>
  <si>
    <t>Anual</t>
  </si>
  <si>
    <t>Assistência Social Familiar Sindical</t>
  </si>
  <si>
    <t>Contribuição Assistencial Patronal</t>
  </si>
  <si>
    <t>Percentual</t>
  </si>
  <si>
    <t>Uniformes e EPIs</t>
  </si>
  <si>
    <t>Módulo VIII - Materiais e Equipamentos</t>
  </si>
  <si>
    <t>Total Item VIII</t>
  </si>
  <si>
    <t>Valor R$</t>
  </si>
  <si>
    <t>Despesas Administrativas/indiretas</t>
  </si>
  <si>
    <t>Lucro Bruto</t>
  </si>
  <si>
    <t>PIS</t>
  </si>
  <si>
    <t>COFINS</t>
  </si>
  <si>
    <t>Total - Quadro VIII</t>
  </si>
  <si>
    <t>Preço total mensal por posto</t>
  </si>
  <si>
    <t>Valor de desconto por dia não trabalhado</t>
  </si>
  <si>
    <t>Endereço</t>
  </si>
  <si>
    <t>Telefone</t>
  </si>
  <si>
    <t>Contato</t>
  </si>
  <si>
    <t>e-mail</t>
  </si>
  <si>
    <t>Incidência cumulativa de PIS e de COFINS</t>
  </si>
  <si>
    <t>Vigência contratual</t>
  </si>
  <si>
    <t>meses</t>
  </si>
  <si>
    <t>Outros</t>
  </si>
  <si>
    <t>PREÇO TOTAL MENSAL (preço total individual X Qtde de Postos)</t>
  </si>
  <si>
    <t>Materiais e equipamentos</t>
  </si>
  <si>
    <t>INSS (Desoneração Fiscal)</t>
  </si>
  <si>
    <t>REGIME TRIBUTÁRIO E ECONÔMICO</t>
  </si>
  <si>
    <t>Incidência não-cumulativa de PIS e de COFINS</t>
  </si>
  <si>
    <t>Simples Nacional</t>
  </si>
  <si>
    <t>Custo Total - Módulos I ao VIII</t>
  </si>
  <si>
    <t>Total Módulo VII</t>
  </si>
  <si>
    <t>Total Módulo VI</t>
  </si>
  <si>
    <t>Total Módulo V</t>
  </si>
  <si>
    <t>Total Módulo IV</t>
  </si>
  <si>
    <t>Total Módulo III</t>
  </si>
  <si>
    <t>Total Módulo II</t>
  </si>
  <si>
    <t>Total Módulo I</t>
  </si>
  <si>
    <t>PERCENTUAIS DE CONTIGENCIAMENTO MENSAL DE ENCARGOS TRABALHISTAS</t>
  </si>
  <si>
    <t>A</t>
  </si>
  <si>
    <t>B</t>
  </si>
  <si>
    <t>C</t>
  </si>
  <si>
    <t>D</t>
  </si>
  <si>
    <t>Abono de Férias</t>
  </si>
  <si>
    <t>F</t>
  </si>
  <si>
    <t>G</t>
  </si>
  <si>
    <t>Multa FGTS</t>
  </si>
  <si>
    <t>Valor total mensal a contingenciar (B+C+D+E+F+G)</t>
  </si>
  <si>
    <t>Incidência de encargos trabalhistas: percentual total do Módulo I sobre os itens A,B e C</t>
  </si>
  <si>
    <t>INSS</t>
  </si>
  <si>
    <t>INSTRUÇÕES DE PREENCHIMENTO</t>
  </si>
  <si>
    <r>
      <t xml:space="preserve">2. </t>
    </r>
    <r>
      <rPr>
        <sz val="8"/>
        <color theme="1"/>
        <rFont val="Arial"/>
        <family val="2"/>
      </rPr>
      <t>Os valores deverão ser apresentados com até duas casas decimais com arredondamento matemático no segundo dígito.</t>
    </r>
  </si>
  <si>
    <r>
      <t>3.</t>
    </r>
    <r>
      <rPr>
        <sz val="8"/>
        <color theme="1"/>
        <rFont val="Arial"/>
        <family val="2"/>
      </rPr>
      <t>O SAT, as despesas administrativas/indiretas, lucro bruto e tributos serão calculados igualmente para todos os postos.</t>
    </r>
  </si>
  <si>
    <t>Despesas Administrativas/ Indiretas</t>
  </si>
  <si>
    <t>Vale Transporte (ida e volta)</t>
  </si>
  <si>
    <t>Total da Mão de Obra (remuneração mensal)</t>
  </si>
  <si>
    <t>DADOS DA FUNÇÃO</t>
  </si>
  <si>
    <t>Função</t>
  </si>
  <si>
    <t>Periodicidade</t>
  </si>
  <si>
    <t>Unidade</t>
  </si>
  <si>
    <t>I - MÃO DE OBRA (remuneração)</t>
  </si>
  <si>
    <t>Salário base Mensal</t>
  </si>
  <si>
    <t>Total  de Mão de Obra (remuneração)</t>
  </si>
  <si>
    <t>Posto</t>
  </si>
  <si>
    <t>TOTAL DE DESCONTO POR DIA NO PERÍODO DO RECESSO FORENSE</t>
  </si>
  <si>
    <t>Item</t>
  </si>
  <si>
    <t>Descrição</t>
  </si>
  <si>
    <t>Valor Dia R$</t>
  </si>
  <si>
    <t>Vale alimentação</t>
  </si>
  <si>
    <t>Vale transporte</t>
  </si>
  <si>
    <t>Custo de reposição por ausências legais + encargos sociais</t>
  </si>
  <si>
    <t>Subtotal</t>
  </si>
  <si>
    <t>Benefícios e Despesas Indiretas (BDI)</t>
  </si>
  <si>
    <t>Total de desconto individual por dia</t>
  </si>
  <si>
    <t>Total de desconto (total individual X qtde de funcionários)</t>
  </si>
  <si>
    <t>Materiais, equipamento, outros e suas depreciações</t>
  </si>
  <si>
    <t>Valor Total período contratual</t>
  </si>
  <si>
    <t>1. Os campos a serem preenchidos estão destacados em verde.</t>
  </si>
  <si>
    <t>Módulo IX - Benefícios e Despesas Indiretas (BDI)</t>
  </si>
  <si>
    <t>BDI 
(Módulo IX)</t>
  </si>
  <si>
    <t>Encargos Previdenciários e FGTS
(Módulo I)
Valor Individual</t>
  </si>
  <si>
    <t>Demais Encargos e Insumos
(Módulos II ao VIII)
Valor Individual</t>
  </si>
  <si>
    <t>Sindicato da Categoria</t>
  </si>
  <si>
    <t>Data Base</t>
  </si>
  <si>
    <t>Vigência Contratual</t>
  </si>
  <si>
    <t>4. Os percentuais indicados são fixos, não podendo ser alterados, exceto quando decorrente de regime tributário.</t>
  </si>
  <si>
    <t xml:space="preserve">5. Fórmula para o cálculo do BDI sem desoneração fiscal: </t>
  </si>
  <si>
    <t xml:space="preserve">6. Fórmula para o cálculo do BDI com desoneração fiscal: </t>
  </si>
  <si>
    <t>Jornada</t>
  </si>
  <si>
    <t>40 horas semanais</t>
  </si>
  <si>
    <t>Auxílio Creche</t>
  </si>
  <si>
    <t>Seguro de Vida</t>
  </si>
  <si>
    <t>Assistência Médica</t>
  </si>
  <si>
    <t>30 horas semanais</t>
  </si>
  <si>
    <t>Valor Unitário Mensal do Posto</t>
  </si>
  <si>
    <t>Valor Mensal Contratual</t>
  </si>
  <si>
    <t>TOTAL GERAL</t>
  </si>
  <si>
    <t>Cod item 55.0584 - Supervisor (CBO 412120 - Supervisor de Digitação e Operação)</t>
  </si>
  <si>
    <t>Cod Item 55.0586 - Digitadores (CBO 412110 - Digitador)</t>
  </si>
  <si>
    <t>SEINESP e SINDIESP</t>
  </si>
  <si>
    <t>24.996.595/0001-45</t>
  </si>
  <si>
    <t>Incloud Tecnologia e Serviços LTDA</t>
  </si>
  <si>
    <t>Rua Prefeito Luiz Latorre nº 9450 - Vila das Hortencias Jundiaí SP</t>
  </si>
  <si>
    <t>11 3631-8355</t>
  </si>
  <si>
    <t>Evandro Rangel</t>
  </si>
  <si>
    <t>licitacoes@docteka.com</t>
  </si>
  <si>
    <t>44 horas semanais</t>
  </si>
  <si>
    <t>44h semanais</t>
  </si>
  <si>
    <t>CCT SINDINFORMATICA E SINDPD 2019 2020</t>
  </si>
  <si>
    <t>SINDADOS - MG</t>
  </si>
  <si>
    <t>Auxiliar de Operação - CBO 411005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</si>
</sst>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_-;\-* #,##0_-;_-* &quot;-&quot;??_-;_-@_-"/>
    <numFmt numFmtId="165" formatCode="00\-0000"/>
    <numFmt numFmtId="166" formatCode="_-[$R$-416]\ * #,##0.00_-;\-[$R$-416]\ * #,##0.00_-;_-[$R$-416]\ * &quot;-&quot;??_-;_-@_-"/>
    <numFmt numFmtId="167" formatCode="#,##0.00_ ;\-#,##0.00\ "/>
    <numFmt numFmtId="168" formatCode="#,##0_ ;\-#,##0\ "/>
    <numFmt numFmtId="169" formatCode="_(&quot;R$ &quot;* #,##0.00_);_(&quot;R$ &quot;* \(#,##0.00\);_(&quot;R$ &quot;* &quot;-&quot;??_);_(@_)"/>
    <numFmt numFmtId="170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thin">
        <color theme="3" tint="0.59996337778862885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3" tint="0.59996337778862885"/>
      </bottom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39994506668294322"/>
      </right>
      <top style="thin">
        <color theme="3" tint="0.59996337778862885"/>
      </top>
      <bottom style="thin">
        <color theme="3" tint="0.59996337778862885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10" fillId="0" borderId="0"/>
  </cellStyleXfs>
  <cellXfs count="182">
    <xf numFmtId="0" fontId="0" fillId="0" borderId="0" xfId="0"/>
    <xf numFmtId="0" fontId="2" fillId="3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43" fontId="3" fillId="0" borderId="1" xfId="1" applyFont="1" applyFill="1" applyBorder="1" applyAlignment="1" applyProtection="1">
      <alignment vertical="center"/>
    </xf>
    <xf numFmtId="43" fontId="2" fillId="4" borderId="1" xfId="1" applyFont="1" applyFill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10" fontId="3" fillId="0" borderId="1" xfId="2" applyNumberFormat="1" applyFont="1" applyBorder="1" applyAlignment="1" applyProtection="1">
      <alignment vertical="center"/>
    </xf>
    <xf numFmtId="10" fontId="2" fillId="4" borderId="1" xfId="0" applyNumberFormat="1" applyFont="1" applyFill="1" applyBorder="1" applyAlignment="1" applyProtection="1">
      <alignment vertical="center"/>
    </xf>
    <xf numFmtId="10" fontId="2" fillId="4" borderId="1" xfId="0" applyNumberFormat="1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/>
    </xf>
    <xf numFmtId="10" fontId="2" fillId="3" borderId="4" xfId="0" applyNumberFormat="1" applyFont="1" applyFill="1" applyBorder="1" applyAlignment="1" applyProtection="1">
      <alignment vertical="center"/>
    </xf>
    <xf numFmtId="43" fontId="2" fillId="3" borderId="1" xfId="1" applyFont="1" applyFill="1" applyBorder="1" applyAlignment="1" applyProtection="1">
      <alignment vertical="center"/>
    </xf>
    <xf numFmtId="43" fontId="2" fillId="4" borderId="1" xfId="1" applyFont="1" applyFill="1" applyBorder="1" applyAlignment="1" applyProtection="1">
      <alignment horizontal="center" vertical="center"/>
    </xf>
    <xf numFmtId="166" fontId="3" fillId="0" borderId="1" xfId="0" applyNumberFormat="1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43" fontId="3" fillId="0" borderId="1" xfId="1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4" fillId="3" borderId="1" xfId="0" applyFont="1" applyFill="1" applyBorder="1" applyAlignment="1" applyProtection="1">
      <alignment vertical="center"/>
    </xf>
    <xf numFmtId="10" fontId="2" fillId="4" borderId="4" xfId="2" applyNumberFormat="1" applyFont="1" applyFill="1" applyBorder="1" applyAlignment="1" applyProtection="1">
      <alignment vertical="center"/>
    </xf>
    <xf numFmtId="43" fontId="2" fillId="3" borderId="1" xfId="1" applyNumberFormat="1" applyFont="1" applyFill="1" applyBorder="1" applyAlignment="1" applyProtection="1">
      <alignment vertical="center"/>
    </xf>
    <xf numFmtId="10" fontId="3" fillId="0" borderId="4" xfId="2" applyNumberFormat="1" applyFont="1" applyBorder="1" applyAlignment="1" applyProtection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43" fontId="3" fillId="0" borderId="8" xfId="0" applyNumberFormat="1" applyFont="1" applyBorder="1" applyAlignment="1">
      <alignment vertical="center"/>
    </xf>
    <xf numFmtId="43" fontId="3" fillId="7" borderId="1" xfId="1" applyFont="1" applyFill="1" applyBorder="1" applyAlignment="1" applyProtection="1">
      <alignment vertical="center"/>
      <protection locked="0"/>
    </xf>
    <xf numFmtId="164" fontId="3" fillId="7" borderId="1" xfId="1" applyNumberFormat="1" applyFont="1" applyFill="1" applyBorder="1" applyAlignment="1" applyProtection="1">
      <alignment vertical="center"/>
      <protection locked="0"/>
    </xf>
    <xf numFmtId="10" fontId="3" fillId="7" borderId="1" xfId="2" applyNumberFormat="1" applyFont="1" applyFill="1" applyBorder="1" applyAlignment="1" applyProtection="1">
      <alignment vertical="center"/>
      <protection locked="0"/>
    </xf>
    <xf numFmtId="0" fontId="3" fillId="0" borderId="12" xfId="0" applyFont="1" applyBorder="1" applyAlignment="1">
      <alignment vertical="center"/>
    </xf>
    <xf numFmtId="10" fontId="3" fillId="0" borderId="8" xfId="2" applyNumberFormat="1" applyFont="1" applyBorder="1" applyAlignment="1">
      <alignment vertical="center"/>
    </xf>
    <xf numFmtId="10" fontId="3" fillId="0" borderId="8" xfId="0" applyNumberFormat="1" applyFont="1" applyBorder="1" applyAlignment="1">
      <alignment vertical="center"/>
    </xf>
    <xf numFmtId="10" fontId="3" fillId="0" borderId="1" xfId="2" applyNumberFormat="1" applyFont="1" applyBorder="1" applyAlignment="1" applyProtection="1">
      <alignment horizontal="right" vertical="center"/>
    </xf>
    <xf numFmtId="43" fontId="3" fillId="0" borderId="1" xfId="1" applyFont="1" applyBorder="1" applyAlignment="1" applyProtection="1">
      <alignment horizontal="left" vertical="center"/>
    </xf>
    <xf numFmtId="10" fontId="3" fillId="0" borderId="3" xfId="2" applyNumberFormat="1" applyFont="1" applyBorder="1" applyAlignment="1" applyProtection="1">
      <alignment vertical="center"/>
    </xf>
    <xf numFmtId="10" fontId="2" fillId="6" borderId="11" xfId="2" applyNumberFormat="1" applyFont="1" applyFill="1" applyBorder="1" applyAlignment="1" applyProtection="1">
      <alignment horizontal="right" vertical="center"/>
    </xf>
    <xf numFmtId="43" fontId="2" fillId="6" borderId="1" xfId="1" applyFont="1" applyFill="1" applyBorder="1" applyAlignment="1" applyProtection="1">
      <alignment horizontal="left" vertical="center"/>
    </xf>
    <xf numFmtId="43" fontId="2" fillId="4" borderId="1" xfId="1" applyNumberFormat="1" applyFont="1" applyFill="1" applyBorder="1" applyAlignment="1" applyProtection="1">
      <alignment vertical="center"/>
    </xf>
    <xf numFmtId="0" fontId="3" fillId="0" borderId="14" xfId="0" applyFont="1" applyBorder="1" applyAlignment="1" applyProtection="1">
      <alignment vertical="center"/>
    </xf>
    <xf numFmtId="0" fontId="2" fillId="6" borderId="2" xfId="0" applyFont="1" applyFill="1" applyBorder="1" applyAlignment="1" applyProtection="1">
      <alignment vertical="center"/>
    </xf>
    <xf numFmtId="0" fontId="2" fillId="6" borderId="3" xfId="0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vertical="center"/>
    </xf>
    <xf numFmtId="0" fontId="2" fillId="4" borderId="3" xfId="0" applyFont="1" applyFill="1" applyBorder="1" applyAlignment="1" applyProtection="1">
      <alignment vertical="center"/>
    </xf>
    <xf numFmtId="0" fontId="2" fillId="4" borderId="4" xfId="0" applyFont="1" applyFill="1" applyBorder="1" applyAlignment="1" applyProtection="1">
      <alignment vertical="center"/>
    </xf>
    <xf numFmtId="43" fontId="3" fillId="0" borderId="1" xfId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3" fontId="3" fillId="0" borderId="1" xfId="1" applyFont="1" applyBorder="1" applyAlignment="1" applyProtection="1">
      <alignment vertical="center"/>
    </xf>
    <xf numFmtId="43" fontId="2" fillId="0" borderId="1" xfId="1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43" fontId="2" fillId="4" borderId="1" xfId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horizontal="right" vertical="center"/>
    </xf>
    <xf numFmtId="0" fontId="3" fillId="0" borderId="8" xfId="0" applyFont="1" applyBorder="1" applyAlignment="1">
      <alignment vertical="center"/>
    </xf>
    <xf numFmtId="10" fontId="3" fillId="0" borderId="1" xfId="0" applyNumberFormat="1" applyFont="1" applyBorder="1" applyAlignment="1" applyProtection="1">
      <alignment vertical="center"/>
    </xf>
    <xf numFmtId="0" fontId="4" fillId="4" borderId="1" xfId="0" applyFont="1" applyFill="1" applyBorder="1" applyAlignment="1" applyProtection="1">
      <alignment vertical="center"/>
    </xf>
    <xf numFmtId="0" fontId="2" fillId="4" borderId="1" xfId="0" applyFont="1" applyFill="1" applyBorder="1" applyAlignment="1" applyProtection="1">
      <alignment vertical="center"/>
    </xf>
    <xf numFmtId="43" fontId="3" fillId="0" borderId="1" xfId="1" applyNumberFormat="1" applyFont="1" applyBorder="1" applyAlignment="1" applyProtection="1">
      <alignment vertical="center"/>
    </xf>
    <xf numFmtId="0" fontId="0" fillId="0" borderId="0" xfId="0"/>
    <xf numFmtId="43" fontId="4" fillId="6" borderId="1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0" fontId="3" fillId="7" borderId="1" xfId="2" applyNumberFormat="1" applyFont="1" applyFill="1" applyBorder="1" applyAlignment="1" applyProtection="1">
      <alignment vertical="center"/>
      <protection locked="0"/>
    </xf>
    <xf numFmtId="43" fontId="3" fillId="7" borderId="1" xfId="1" applyFont="1" applyFill="1" applyBorder="1" applyAlignment="1" applyProtection="1">
      <alignment vertical="center"/>
      <protection locked="0"/>
    </xf>
    <xf numFmtId="0" fontId="4" fillId="6" borderId="1" xfId="0" applyFont="1" applyFill="1" applyBorder="1" applyAlignment="1" applyProtection="1">
      <alignment horizontal="center" vertical="center" wrapText="1"/>
    </xf>
    <xf numFmtId="10" fontId="3" fillId="0" borderId="1" xfId="2" applyNumberFormat="1" applyFont="1" applyBorder="1" applyAlignment="1" applyProtection="1">
      <alignment horizontal="right" vertical="center"/>
    </xf>
    <xf numFmtId="43" fontId="3" fillId="0" borderId="1" xfId="1" applyFont="1" applyBorder="1" applyAlignment="1" applyProtection="1">
      <alignment horizontal="left" vertical="center"/>
    </xf>
    <xf numFmtId="0" fontId="4" fillId="6" borderId="1" xfId="1" applyNumberFormat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vertical="center"/>
    </xf>
    <xf numFmtId="43" fontId="3" fillId="0" borderId="8" xfId="0" applyNumberFormat="1" applyFont="1" applyBorder="1" applyAlignment="1">
      <alignment vertical="center"/>
    </xf>
    <xf numFmtId="0" fontId="3" fillId="0" borderId="1" xfId="0" applyFont="1" applyBorder="1" applyAlignment="1" applyProtection="1">
      <alignment horizontal="center"/>
    </xf>
    <xf numFmtId="43" fontId="3" fillId="0" borderId="1" xfId="1" applyFont="1" applyBorder="1" applyProtection="1"/>
    <xf numFmtId="43" fontId="2" fillId="4" borderId="1" xfId="0" applyNumberFormat="1" applyFont="1" applyFill="1" applyBorder="1" applyProtection="1"/>
    <xf numFmtId="0" fontId="3" fillId="0" borderId="0" xfId="0" applyFont="1" applyProtection="1"/>
    <xf numFmtId="0" fontId="2" fillId="2" borderId="20" xfId="0" applyFont="1" applyFill="1" applyBorder="1" applyAlignment="1" applyProtection="1">
      <alignment horizontal="left" vertical="center"/>
    </xf>
    <xf numFmtId="0" fontId="3" fillId="0" borderId="8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vertical="center"/>
    </xf>
    <xf numFmtId="0" fontId="3" fillId="0" borderId="0" xfId="0" applyFont="1"/>
    <xf numFmtId="14" fontId="3" fillId="9" borderId="21" xfId="1" applyNumberFormat="1" applyFont="1" applyFill="1" applyBorder="1" applyAlignment="1" applyProtection="1">
      <alignment horizontal="right" vertical="center"/>
      <protection locked="0"/>
    </xf>
    <xf numFmtId="0" fontId="2" fillId="4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3" fillId="7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 wrapText="1"/>
    </xf>
    <xf numFmtId="43" fontId="3" fillId="0" borderId="12" xfId="0" applyNumberFormat="1" applyFont="1" applyBorder="1" applyAlignment="1">
      <alignment vertical="center"/>
    </xf>
    <xf numFmtId="43" fontId="3" fillId="0" borderId="0" xfId="0" applyNumberFormat="1" applyFont="1" applyBorder="1" applyAlignment="1">
      <alignment vertical="center"/>
    </xf>
    <xf numFmtId="14" fontId="3" fillId="0" borderId="0" xfId="0" applyNumberFormat="1" applyFont="1" applyProtection="1">
      <protection locked="0"/>
    </xf>
    <xf numFmtId="0" fontId="3" fillId="0" borderId="2" xfId="0" applyFont="1" applyFill="1" applyBorder="1" applyAlignment="1" applyProtection="1">
      <alignment horizontal="left" vertical="center"/>
    </xf>
    <xf numFmtId="0" fontId="3" fillId="0" borderId="3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left" vertical="center"/>
    </xf>
    <xf numFmtId="0" fontId="2" fillId="4" borderId="2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165" fontId="4" fillId="5" borderId="1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10" fontId="3" fillId="0" borderId="18" xfId="0" applyNumberFormat="1" applyFont="1" applyBorder="1" applyAlignment="1">
      <alignment horizontal="center" vertical="center"/>
    </xf>
    <xf numFmtId="10" fontId="3" fillId="0" borderId="12" xfId="0" applyNumberFormat="1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right" vertical="center"/>
    </xf>
    <xf numFmtId="0" fontId="2" fillId="2" borderId="3" xfId="0" applyFont="1" applyFill="1" applyBorder="1" applyAlignment="1" applyProtection="1">
      <alignment horizontal="right" vertical="center"/>
    </xf>
    <xf numFmtId="0" fontId="2" fillId="2" borderId="4" xfId="0" applyFont="1" applyFill="1" applyBorder="1" applyAlignment="1" applyProtection="1">
      <alignment horizontal="right" vertical="center"/>
    </xf>
    <xf numFmtId="0" fontId="2" fillId="4" borderId="2" xfId="0" applyFont="1" applyFill="1" applyBorder="1" applyAlignment="1" applyProtection="1">
      <alignment horizontal="right" vertical="center"/>
    </xf>
    <xf numFmtId="0" fontId="2" fillId="4" borderId="3" xfId="0" applyFont="1" applyFill="1" applyBorder="1" applyAlignment="1" applyProtection="1">
      <alignment horizontal="right" vertical="center"/>
    </xf>
    <xf numFmtId="0" fontId="2" fillId="4" borderId="4" xfId="0" applyFont="1" applyFill="1" applyBorder="1" applyAlignment="1" applyProtection="1">
      <alignment horizontal="right" vertical="center"/>
    </xf>
    <xf numFmtId="0" fontId="4" fillId="4" borderId="2" xfId="0" applyFont="1" applyFill="1" applyBorder="1" applyAlignment="1" applyProtection="1">
      <alignment horizontal="left" vertical="center"/>
    </xf>
    <xf numFmtId="0" fontId="4" fillId="4" borderId="3" xfId="0" applyFont="1" applyFill="1" applyBorder="1" applyAlignment="1" applyProtection="1">
      <alignment horizontal="left" vertical="center"/>
    </xf>
    <xf numFmtId="0" fontId="4" fillId="4" borderId="4" xfId="0" applyFont="1" applyFill="1" applyBorder="1" applyAlignment="1" applyProtection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1" xfId="0" applyFont="1" applyBorder="1" applyAlignment="1" applyProtection="1">
      <alignment horizontal="left" vertic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43" fontId="3" fillId="0" borderId="5" xfId="1" applyNumberFormat="1" applyFont="1" applyFill="1" applyBorder="1" applyAlignment="1" applyProtection="1">
      <alignment horizontal="center" vertical="center"/>
    </xf>
    <xf numFmtId="43" fontId="3" fillId="0" borderId="7" xfId="1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0" fontId="2" fillId="8" borderId="3" xfId="0" applyFont="1" applyFill="1" applyBorder="1" applyAlignment="1" applyProtection="1">
      <alignment horizontal="center" vertical="center"/>
    </xf>
    <xf numFmtId="10" fontId="3" fillId="0" borderId="17" xfId="0" applyNumberFormat="1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0" fontId="2" fillId="4" borderId="2" xfId="0" applyFont="1" applyFill="1" applyBorder="1" applyAlignment="1" applyProtection="1">
      <alignment horizontal="left" vertical="center"/>
    </xf>
    <xf numFmtId="0" fontId="2" fillId="4" borderId="3" xfId="0" applyFont="1" applyFill="1" applyBorder="1" applyAlignment="1" applyProtection="1">
      <alignment horizontal="left" vertical="center"/>
    </xf>
    <xf numFmtId="0" fontId="2" fillId="4" borderId="4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right" vertical="center"/>
    </xf>
    <xf numFmtId="0" fontId="2" fillId="3" borderId="2" xfId="0" applyFont="1" applyFill="1" applyBorder="1" applyAlignment="1" applyProtection="1">
      <alignment horizontal="right" vertical="center"/>
    </xf>
    <xf numFmtId="0" fontId="2" fillId="3" borderId="3" xfId="0" applyFont="1" applyFill="1" applyBorder="1" applyAlignment="1" applyProtection="1">
      <alignment horizontal="right" vertical="center"/>
    </xf>
    <xf numFmtId="0" fontId="2" fillId="3" borderId="4" xfId="0" applyFont="1" applyFill="1" applyBorder="1" applyAlignment="1" applyProtection="1">
      <alignment horizontal="right" vertical="center"/>
    </xf>
    <xf numFmtId="0" fontId="3" fillId="7" borderId="2" xfId="0" applyFont="1" applyFill="1" applyBorder="1" applyAlignment="1" applyProtection="1">
      <alignment horizontal="left" vertical="center"/>
      <protection locked="0"/>
    </xf>
    <xf numFmtId="0" fontId="3" fillId="7" borderId="4" xfId="0" applyFont="1" applyFill="1" applyBorder="1" applyAlignment="1" applyProtection="1">
      <alignment horizontal="left" vertical="center"/>
      <protection locked="0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horizontal="left" vertical="center"/>
    </xf>
    <xf numFmtId="0" fontId="5" fillId="0" borderId="2" xfId="0" applyFont="1" applyBorder="1" applyAlignment="1" applyProtection="1">
      <alignment horizontal="left" vertical="center"/>
    </xf>
    <xf numFmtId="0" fontId="5" fillId="0" borderId="3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left" vertical="center"/>
    </xf>
    <xf numFmtId="166" fontId="3" fillId="0" borderId="5" xfId="0" applyNumberFormat="1" applyFont="1" applyBorder="1" applyAlignment="1" applyProtection="1">
      <alignment horizontal="center" vertical="center"/>
    </xf>
    <xf numFmtId="166" fontId="3" fillId="0" borderId="6" xfId="0" applyNumberFormat="1" applyFont="1" applyBorder="1" applyAlignment="1" applyProtection="1">
      <alignment horizontal="center" vertical="center"/>
    </xf>
    <xf numFmtId="166" fontId="3" fillId="0" borderId="7" xfId="0" applyNumberFormat="1" applyFont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indent="1"/>
    </xf>
    <xf numFmtId="0" fontId="3" fillId="0" borderId="1" xfId="0" applyFont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6" borderId="1" xfId="0" applyFont="1" applyFill="1" applyBorder="1" applyAlignment="1" applyProtection="1">
      <alignment horizontal="center" vertical="center"/>
    </xf>
    <xf numFmtId="10" fontId="3" fillId="7" borderId="1" xfId="2" applyNumberFormat="1" applyFont="1" applyFill="1" applyBorder="1" applyAlignment="1" applyProtection="1">
      <alignment horizontal="left" vertical="center"/>
      <protection locked="0"/>
    </xf>
    <xf numFmtId="0" fontId="4" fillId="6" borderId="2" xfId="0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10" fontId="3" fillId="7" borderId="2" xfId="2" applyNumberFormat="1" applyFont="1" applyFill="1" applyBorder="1" applyAlignment="1" applyProtection="1">
      <alignment horizontal="left" vertical="center"/>
      <protection locked="0"/>
    </xf>
    <xf numFmtId="10" fontId="3" fillId="7" borderId="3" xfId="2" applyNumberFormat="1" applyFont="1" applyFill="1" applyBorder="1" applyAlignment="1" applyProtection="1">
      <alignment horizontal="left" vertical="center"/>
      <protection locked="0"/>
    </xf>
    <xf numFmtId="10" fontId="3" fillId="7" borderId="4" xfId="2" applyNumberFormat="1" applyFont="1" applyFill="1" applyBorder="1" applyAlignment="1" applyProtection="1">
      <alignment horizontal="left" vertical="center"/>
      <protection locked="0"/>
    </xf>
    <xf numFmtId="10" fontId="3" fillId="2" borderId="2" xfId="2" applyNumberFormat="1" applyFont="1" applyFill="1" applyBorder="1" applyAlignment="1" applyProtection="1">
      <alignment horizontal="left" vertical="center"/>
    </xf>
    <xf numFmtId="10" fontId="3" fillId="2" borderId="3" xfId="2" applyNumberFormat="1" applyFont="1" applyFill="1" applyBorder="1" applyAlignment="1" applyProtection="1">
      <alignment horizontal="left" vertical="center"/>
    </xf>
    <xf numFmtId="10" fontId="3" fillId="2" borderId="4" xfId="2" applyNumberFormat="1" applyFont="1" applyFill="1" applyBorder="1" applyAlignment="1" applyProtection="1">
      <alignment horizontal="left" vertical="center"/>
    </xf>
    <xf numFmtId="167" fontId="3" fillId="2" borderId="2" xfId="1" applyNumberFormat="1" applyFont="1" applyFill="1" applyBorder="1" applyAlignment="1" applyProtection="1">
      <alignment horizontal="left" vertical="center"/>
    </xf>
    <xf numFmtId="167" fontId="3" fillId="2" borderId="3" xfId="1" applyNumberFormat="1" applyFont="1" applyFill="1" applyBorder="1" applyAlignment="1" applyProtection="1">
      <alignment horizontal="left" vertical="center"/>
    </xf>
    <xf numFmtId="167" fontId="3" fillId="2" borderId="4" xfId="1" applyNumberFormat="1" applyFont="1" applyFill="1" applyBorder="1" applyAlignment="1" applyProtection="1">
      <alignment horizontal="left" vertical="center"/>
    </xf>
    <xf numFmtId="168" fontId="3" fillId="2" borderId="2" xfId="1" applyNumberFormat="1" applyFont="1" applyFill="1" applyBorder="1" applyAlignment="1" applyProtection="1">
      <alignment horizontal="left" vertical="center"/>
    </xf>
    <xf numFmtId="168" fontId="3" fillId="2" borderId="3" xfId="1" applyNumberFormat="1" applyFont="1" applyFill="1" applyBorder="1" applyAlignment="1" applyProtection="1">
      <alignment horizontal="left" vertical="center"/>
    </xf>
    <xf numFmtId="168" fontId="3" fillId="2" borderId="4" xfId="1" applyNumberFormat="1" applyFont="1" applyFill="1" applyBorder="1" applyAlignment="1" applyProtection="1">
      <alignment horizontal="left" vertical="center"/>
    </xf>
    <xf numFmtId="0" fontId="2" fillId="2" borderId="19" xfId="0" applyFont="1" applyFill="1" applyBorder="1" applyAlignment="1" applyProtection="1">
      <alignment horizontal="left" vertical="center"/>
    </xf>
    <xf numFmtId="43" fontId="3" fillId="9" borderId="22" xfId="1" applyFont="1" applyFill="1" applyBorder="1" applyAlignment="1" applyProtection="1">
      <alignment vertical="center" wrapText="1"/>
      <protection locked="0"/>
    </xf>
    <xf numFmtId="43" fontId="3" fillId="9" borderId="23" xfId="1" applyFont="1" applyFill="1" applyBorder="1" applyAlignment="1" applyProtection="1">
      <alignment vertical="center" wrapText="1"/>
      <protection locked="0"/>
    </xf>
    <xf numFmtId="165" fontId="4" fillId="5" borderId="2" xfId="0" applyNumberFormat="1" applyFont="1" applyFill="1" applyBorder="1" applyAlignment="1" applyProtection="1">
      <alignment horizontal="center" vertical="center" wrapText="1"/>
    </xf>
    <xf numFmtId="165" fontId="4" fillId="5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left" vertical="center"/>
    </xf>
    <xf numFmtId="0" fontId="3" fillId="10" borderId="2" xfId="0" applyFont="1" applyFill="1" applyBorder="1" applyAlignment="1" applyProtection="1">
      <alignment horizontal="left" vertical="center"/>
      <protection locked="0"/>
    </xf>
    <xf numFmtId="0" fontId="3" fillId="10" borderId="4" xfId="0" applyFont="1" applyFill="1" applyBorder="1" applyAlignment="1" applyProtection="1">
      <alignment horizontal="left" vertical="center"/>
      <protection locked="0"/>
    </xf>
    <xf numFmtId="0" fontId="2" fillId="4" borderId="2" xfId="0" applyFont="1" applyFill="1" applyBorder="1" applyAlignment="1" applyProtection="1">
      <alignment horizontal="right" wrapText="1"/>
    </xf>
    <xf numFmtId="0" fontId="2" fillId="4" borderId="3" xfId="0" applyFont="1" applyFill="1" applyBorder="1" applyAlignment="1" applyProtection="1">
      <alignment horizontal="right" wrapText="1"/>
    </xf>
    <xf numFmtId="0" fontId="2" fillId="4" borderId="4" xfId="0" applyFont="1" applyFill="1" applyBorder="1" applyAlignment="1" applyProtection="1">
      <alignment horizontal="right" wrapText="1"/>
    </xf>
    <xf numFmtId="43" fontId="3" fillId="7" borderId="1" xfId="1" applyNumberFormat="1" applyFont="1" applyFill="1" applyBorder="1" applyAlignment="1" applyProtection="1">
      <alignment vertical="center"/>
      <protection locked="0"/>
    </xf>
    <xf numFmtId="43" fontId="3" fillId="0" borderId="1" xfId="1" applyNumberFormat="1" applyFont="1" applyBorder="1" applyProtection="1"/>
  </cellXfs>
  <cellStyles count="8">
    <cellStyle name="Moeda 2" xfId="3" xr:uid="{00000000-0005-0000-0000-000000000000}"/>
    <cellStyle name="Normal" xfId="0" builtinId="0"/>
    <cellStyle name="Normal 2" xfId="4" xr:uid="{00000000-0005-0000-0000-000002000000}"/>
    <cellStyle name="Normal 3" xfId="7" xr:uid="{00000000-0005-0000-0000-000003000000}"/>
    <cellStyle name="Porcentagem" xfId="2" builtinId="5"/>
    <cellStyle name="Porcentagem 2" xfId="5" xr:uid="{00000000-0005-0000-0000-000005000000}"/>
    <cellStyle name="Vírgula" xfId="1" builtinId="3"/>
    <cellStyle name="Vírgula 2" xfId="6" xr:uid="{00000000-0005-0000-0000-000007000000}"/>
  </cellStyles>
  <dxfs count="141"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ill>
        <patternFill>
          <bgColor theme="6" tint="0.59996337778862885"/>
        </patternFill>
      </fill>
    </dxf>
    <dxf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831850</xdr:colOff>
          <xdr:row>146</xdr:row>
          <xdr:rowOff>114300</xdr:rowOff>
        </xdr:from>
        <xdr:to>
          <xdr:col>3</xdr:col>
          <xdr:colOff>781050</xdr:colOff>
          <xdr:row>146</xdr:row>
          <xdr:rowOff>438150</xdr:rowOff>
        </xdr:to>
        <xdr:sp macro="" textlink="">
          <xdr:nvSpPr>
            <xdr:cNvPr id="1049" name="Object 2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635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850900</xdr:colOff>
          <xdr:row>145</xdr:row>
          <xdr:rowOff>133350</xdr:rowOff>
        </xdr:from>
        <xdr:to>
          <xdr:col>3</xdr:col>
          <xdr:colOff>755650</xdr:colOff>
          <xdr:row>145</xdr:row>
          <xdr:rowOff>450850</xdr:rowOff>
        </xdr:to>
        <xdr:sp macro="" textlink="">
          <xdr:nvSpPr>
            <xdr:cNvPr id="1050" name="Object 2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635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831850</xdr:colOff>
          <xdr:row>146</xdr:row>
          <xdr:rowOff>114300</xdr:rowOff>
        </xdr:from>
        <xdr:to>
          <xdr:col>3</xdr:col>
          <xdr:colOff>781050</xdr:colOff>
          <xdr:row>146</xdr:row>
          <xdr:rowOff>438150</xdr:rowOff>
        </xdr:to>
        <xdr:sp macro="" textlink="">
          <xdr:nvSpPr>
            <xdr:cNvPr id="7169" name="Object 2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635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850900</xdr:colOff>
          <xdr:row>145</xdr:row>
          <xdr:rowOff>133350</xdr:rowOff>
        </xdr:from>
        <xdr:to>
          <xdr:col>3</xdr:col>
          <xdr:colOff>755650</xdr:colOff>
          <xdr:row>145</xdr:row>
          <xdr:rowOff>450850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635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831850</xdr:colOff>
          <xdr:row>146</xdr:row>
          <xdr:rowOff>114300</xdr:rowOff>
        </xdr:from>
        <xdr:to>
          <xdr:col>3</xdr:col>
          <xdr:colOff>781050</xdr:colOff>
          <xdr:row>146</xdr:row>
          <xdr:rowOff>438150</xdr:rowOff>
        </xdr:to>
        <xdr:sp macro="" textlink="">
          <xdr:nvSpPr>
            <xdr:cNvPr id="8193" name="Object 2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635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850900</xdr:colOff>
          <xdr:row>145</xdr:row>
          <xdr:rowOff>133350</xdr:rowOff>
        </xdr:from>
        <xdr:to>
          <xdr:col>3</xdr:col>
          <xdr:colOff>755650</xdr:colOff>
          <xdr:row>145</xdr:row>
          <xdr:rowOff>450850</xdr:rowOff>
        </xdr:to>
        <xdr:sp macro="" textlink="">
          <xdr:nvSpPr>
            <xdr:cNvPr id="8194" name="Object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635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J594"/>
  <sheetViews>
    <sheetView topLeftCell="A7" zoomScaleNormal="100" workbookViewId="0">
      <selection activeCell="G25" sqref="G25"/>
    </sheetView>
  </sheetViews>
  <sheetFormatPr defaultRowHeight="14.5" x14ac:dyDescent="0.35"/>
  <cols>
    <col min="1" max="1" width="3.81640625" customWidth="1"/>
    <col min="2" max="2" width="52" customWidth="1"/>
    <col min="3" max="3" width="31.453125" customWidth="1"/>
    <col min="4" max="4" width="14.54296875" bestFit="1" customWidth="1"/>
    <col min="5" max="6" width="11.1796875" customWidth="1"/>
    <col min="7" max="7" width="13.7265625" style="21" customWidth="1"/>
    <col min="8" max="8" width="32" style="21" hidden="1" customWidth="1"/>
    <col min="9" max="65" width="9.1796875" style="21"/>
  </cols>
  <sheetData>
    <row r="1" spans="1:244" s="23" customFormat="1" ht="15" customHeight="1" x14ac:dyDescent="0.35">
      <c r="A1" s="150" t="s">
        <v>0</v>
      </c>
      <c r="B1" s="150"/>
      <c r="C1" s="150"/>
      <c r="D1" s="150"/>
      <c r="E1" s="150"/>
      <c r="F1" s="150"/>
      <c r="G1" s="21"/>
      <c r="H1" s="21" t="s">
        <v>80</v>
      </c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2"/>
      <c r="BO1" s="22"/>
      <c r="BP1" s="22"/>
      <c r="BQ1" s="22"/>
      <c r="BR1" s="22"/>
    </row>
    <row r="2" spans="1:244" s="23" customFormat="1" ht="13.5" customHeight="1" x14ac:dyDescent="0.35">
      <c r="A2" s="149" t="s">
        <v>1</v>
      </c>
      <c r="B2" s="149"/>
      <c r="C2" s="146" t="s">
        <v>153</v>
      </c>
      <c r="D2" s="146"/>
      <c r="E2" s="146"/>
      <c r="F2" s="146"/>
      <c r="G2" s="21"/>
      <c r="H2" s="21" t="s">
        <v>73</v>
      </c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2"/>
      <c r="BO2" s="22"/>
      <c r="BP2" s="22"/>
      <c r="BQ2" s="22"/>
      <c r="BR2" s="22"/>
    </row>
    <row r="3" spans="1:244" s="23" customFormat="1" ht="13.5" customHeight="1" x14ac:dyDescent="0.35">
      <c r="A3" s="149" t="s">
        <v>2</v>
      </c>
      <c r="B3" s="149"/>
      <c r="C3" s="146" t="s">
        <v>154</v>
      </c>
      <c r="D3" s="146"/>
      <c r="E3" s="146"/>
      <c r="F3" s="146"/>
      <c r="G3" s="21"/>
      <c r="H3" s="21" t="s">
        <v>81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2"/>
      <c r="BO3" s="22"/>
      <c r="BP3" s="22"/>
      <c r="BQ3" s="22"/>
      <c r="BR3" s="22"/>
    </row>
    <row r="4" spans="1:244" s="23" customFormat="1" ht="13.5" customHeight="1" x14ac:dyDescent="0.35">
      <c r="A4" s="149" t="s">
        <v>69</v>
      </c>
      <c r="B4" s="149"/>
      <c r="C4" s="146" t="s">
        <v>155</v>
      </c>
      <c r="D4" s="146"/>
      <c r="E4" s="146"/>
      <c r="F4" s="146"/>
      <c r="G4" s="21"/>
      <c r="H4" s="21" t="s">
        <v>82</v>
      </c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2"/>
      <c r="BO4" s="22"/>
      <c r="BP4" s="22"/>
      <c r="BQ4" s="22"/>
      <c r="BR4" s="22"/>
    </row>
    <row r="5" spans="1:244" s="23" customFormat="1" ht="13.5" customHeight="1" x14ac:dyDescent="0.35">
      <c r="A5" s="149" t="s">
        <v>70</v>
      </c>
      <c r="B5" s="149"/>
      <c r="C5" s="146" t="s">
        <v>156</v>
      </c>
      <c r="D5" s="146"/>
      <c r="E5" s="146"/>
      <c r="F5" s="146"/>
      <c r="G5" s="21"/>
      <c r="H5" s="29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2"/>
      <c r="BO5" s="22"/>
      <c r="BP5" s="22"/>
      <c r="BQ5" s="22"/>
      <c r="BR5" s="22"/>
    </row>
    <row r="6" spans="1:244" s="23" customFormat="1" ht="13.5" customHeight="1" x14ac:dyDescent="0.35">
      <c r="A6" s="149" t="s">
        <v>71</v>
      </c>
      <c r="B6" s="149"/>
      <c r="C6" s="146" t="s">
        <v>157</v>
      </c>
      <c r="D6" s="146"/>
      <c r="E6" s="146"/>
      <c r="F6" s="146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2"/>
      <c r="BO6" s="22"/>
      <c r="BP6" s="22"/>
      <c r="BQ6" s="22"/>
      <c r="BR6" s="22"/>
    </row>
    <row r="7" spans="1:244" s="23" customFormat="1" ht="13.5" customHeight="1" x14ac:dyDescent="0.35">
      <c r="A7" s="149" t="s">
        <v>72</v>
      </c>
      <c r="B7" s="149"/>
      <c r="C7" s="146" t="s">
        <v>158</v>
      </c>
      <c r="D7" s="146"/>
      <c r="E7" s="146"/>
      <c r="F7" s="146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2"/>
      <c r="BO7" s="22"/>
      <c r="BP7" s="22"/>
      <c r="BQ7" s="22"/>
      <c r="BR7" s="22"/>
    </row>
    <row r="8" spans="1:244" s="77" customFormat="1" ht="13.5" customHeight="1" x14ac:dyDescent="0.25">
      <c r="A8" s="167" t="s">
        <v>135</v>
      </c>
      <c r="B8" s="167"/>
      <c r="C8" s="168" t="s">
        <v>161</v>
      </c>
      <c r="D8" s="169"/>
      <c r="E8" s="74" t="s">
        <v>136</v>
      </c>
      <c r="F8" s="86">
        <v>43630</v>
      </c>
      <c r="H8" s="75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</row>
    <row r="9" spans="1:244" s="23" customFormat="1" ht="13.5" customHeight="1" x14ac:dyDescent="0.35">
      <c r="A9" s="149" t="s">
        <v>4</v>
      </c>
      <c r="B9" s="149"/>
      <c r="C9" s="151">
        <v>0.01</v>
      </c>
      <c r="D9" s="151"/>
      <c r="E9" s="151"/>
      <c r="F9" s="15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2"/>
      <c r="BO9" s="22"/>
      <c r="BP9" s="22"/>
      <c r="BQ9" s="22"/>
      <c r="BR9" s="22"/>
    </row>
    <row r="10" spans="1:244" s="23" customFormat="1" ht="13.5" customHeight="1" x14ac:dyDescent="0.35">
      <c r="A10" s="149" t="s">
        <v>106</v>
      </c>
      <c r="B10" s="149"/>
      <c r="C10" s="151">
        <v>0.04</v>
      </c>
      <c r="D10" s="151"/>
      <c r="E10" s="151"/>
      <c r="F10" s="15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2"/>
      <c r="BO10" s="22"/>
      <c r="BP10" s="22"/>
      <c r="BQ10" s="22"/>
      <c r="BR10" s="22"/>
    </row>
    <row r="11" spans="1:244" s="23" customFormat="1" ht="13.5" customHeight="1" x14ac:dyDescent="0.35">
      <c r="A11" s="149" t="s">
        <v>63</v>
      </c>
      <c r="B11" s="149"/>
      <c r="C11" s="151">
        <v>0.11749999999999999</v>
      </c>
      <c r="D11" s="151"/>
      <c r="E11" s="151"/>
      <c r="F11" s="15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2"/>
      <c r="BO11" s="22"/>
      <c r="BP11" s="22"/>
      <c r="BQ11" s="22"/>
      <c r="BR11" s="22"/>
    </row>
    <row r="12" spans="1:244" s="23" customFormat="1" ht="13.5" customHeight="1" x14ac:dyDescent="0.35">
      <c r="A12" s="149" t="s">
        <v>3</v>
      </c>
      <c r="B12" s="149"/>
      <c r="C12" s="155" t="s">
        <v>81</v>
      </c>
      <c r="D12" s="156"/>
      <c r="E12" s="156"/>
      <c r="F12" s="157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2"/>
      <c r="BO12" s="22"/>
      <c r="BP12" s="22"/>
      <c r="BQ12" s="22"/>
      <c r="BR12" s="22"/>
    </row>
    <row r="13" spans="1:244" s="23" customFormat="1" ht="13.5" customHeight="1" x14ac:dyDescent="0.35">
      <c r="A13" s="149" t="s">
        <v>65</v>
      </c>
      <c r="B13" s="149"/>
      <c r="C13" s="151">
        <v>7.5999999999999998E-2</v>
      </c>
      <c r="D13" s="151"/>
      <c r="E13" s="151"/>
      <c r="F13" s="15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2"/>
      <c r="BO13" s="22"/>
      <c r="BP13" s="22"/>
      <c r="BQ13" s="22"/>
      <c r="BR13" s="22"/>
    </row>
    <row r="14" spans="1:244" s="23" customFormat="1" ht="13.5" customHeight="1" x14ac:dyDescent="0.35">
      <c r="A14" s="149" t="s">
        <v>64</v>
      </c>
      <c r="B14" s="149"/>
      <c r="C14" s="151">
        <v>1.6500000000000001E-2</v>
      </c>
      <c r="D14" s="151"/>
      <c r="E14" s="151"/>
      <c r="F14" s="15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2"/>
      <c r="BO14" s="22"/>
      <c r="BP14" s="22"/>
      <c r="BQ14" s="22"/>
      <c r="BR14" s="22"/>
    </row>
    <row r="15" spans="1:244" s="23" customFormat="1" ht="13.5" customHeight="1" x14ac:dyDescent="0.35">
      <c r="A15" s="149" t="s">
        <v>5</v>
      </c>
      <c r="B15" s="149"/>
      <c r="C15" s="151">
        <v>0.05</v>
      </c>
      <c r="D15" s="151"/>
      <c r="E15" s="151"/>
      <c r="F15" s="15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2"/>
      <c r="BO15" s="22"/>
      <c r="BP15" s="22"/>
      <c r="BQ15" s="22"/>
      <c r="BR15" s="22"/>
    </row>
    <row r="16" spans="1:244" s="23" customFormat="1" ht="13.5" customHeight="1" x14ac:dyDescent="0.35">
      <c r="A16" s="149" t="s">
        <v>79</v>
      </c>
      <c r="B16" s="149"/>
      <c r="C16" s="151">
        <v>0</v>
      </c>
      <c r="D16" s="151"/>
      <c r="E16" s="151"/>
      <c r="F16" s="15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4"/>
      <c r="BO16" s="24"/>
      <c r="BP16" s="24"/>
      <c r="BQ16" s="24"/>
      <c r="BR16" s="24"/>
    </row>
    <row r="17" spans="1:70" ht="13.5" customHeight="1" x14ac:dyDescent="0.35">
      <c r="A17" s="149" t="s">
        <v>7</v>
      </c>
      <c r="B17" s="149"/>
      <c r="C17" s="158">
        <f>$E$111</f>
        <v>0.3553</v>
      </c>
      <c r="D17" s="159"/>
      <c r="E17" s="159"/>
      <c r="F17" s="160"/>
    </row>
    <row r="18" spans="1:70" s="23" customFormat="1" ht="13.5" customHeight="1" x14ac:dyDescent="0.35">
      <c r="A18" s="149" t="s">
        <v>6</v>
      </c>
      <c r="B18" s="149"/>
      <c r="C18" s="161">
        <v>22</v>
      </c>
      <c r="D18" s="162"/>
      <c r="E18" s="162"/>
      <c r="F18" s="163"/>
      <c r="G18" s="21"/>
      <c r="H18" s="21"/>
      <c r="I18" s="21"/>
      <c r="J18" s="3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2"/>
      <c r="BO18" s="22"/>
      <c r="BP18" s="22"/>
      <c r="BQ18" s="22"/>
      <c r="BR18" s="22"/>
    </row>
    <row r="19" spans="1:70" s="23" customFormat="1" ht="13.5" customHeight="1" x14ac:dyDescent="0.35">
      <c r="A19" s="149" t="s">
        <v>74</v>
      </c>
      <c r="B19" s="149"/>
      <c r="C19" s="82">
        <v>24</v>
      </c>
      <c r="D19" s="164" t="s">
        <v>75</v>
      </c>
      <c r="E19" s="165"/>
      <c r="F19" s="166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2"/>
      <c r="BO19" s="22"/>
      <c r="BP19" s="22"/>
      <c r="BQ19" s="22"/>
      <c r="BR19" s="22"/>
    </row>
    <row r="20" spans="1:70" ht="9" customHeight="1" x14ac:dyDescent="0.35">
      <c r="A20" s="29"/>
      <c r="B20" s="29"/>
      <c r="C20" s="29"/>
      <c r="D20" s="29"/>
      <c r="E20" s="29"/>
      <c r="F20" s="29"/>
    </row>
    <row r="21" spans="1:70" x14ac:dyDescent="0.35">
      <c r="A21" s="152" t="s">
        <v>109</v>
      </c>
      <c r="B21" s="153"/>
      <c r="C21" s="153"/>
      <c r="D21" s="153"/>
      <c r="E21" s="153"/>
      <c r="F21" s="154"/>
    </row>
    <row r="22" spans="1:70" x14ac:dyDescent="0.35">
      <c r="A22" s="90" t="s">
        <v>110</v>
      </c>
      <c r="B22" s="91"/>
      <c r="C22" s="81" t="s">
        <v>141</v>
      </c>
      <c r="D22" s="79" t="s">
        <v>111</v>
      </c>
      <c r="E22" s="79" t="s">
        <v>112</v>
      </c>
      <c r="F22" s="79" t="s">
        <v>8</v>
      </c>
      <c r="BL22"/>
      <c r="BM22"/>
    </row>
    <row r="23" spans="1:70" x14ac:dyDescent="0.35">
      <c r="A23" s="135" t="s">
        <v>150</v>
      </c>
      <c r="B23" s="136"/>
      <c r="C23" s="45" t="s">
        <v>142</v>
      </c>
      <c r="D23" s="45" t="s">
        <v>53</v>
      </c>
      <c r="E23" s="2" t="s">
        <v>116</v>
      </c>
      <c r="F23" s="27">
        <v>1</v>
      </c>
      <c r="BL23"/>
      <c r="BM23"/>
    </row>
    <row r="24" spans="1:70" ht="7.5" customHeight="1" x14ac:dyDescent="0.35">
      <c r="A24" s="95"/>
      <c r="B24" s="95"/>
      <c r="C24" s="95"/>
      <c r="D24" s="95"/>
      <c r="E24" s="95"/>
      <c r="F24" s="96"/>
    </row>
    <row r="25" spans="1:70" x14ac:dyDescent="0.35">
      <c r="A25" s="152" t="s">
        <v>9</v>
      </c>
      <c r="B25" s="153"/>
      <c r="C25" s="153"/>
      <c r="D25" s="153"/>
      <c r="E25" s="153"/>
      <c r="F25" s="154"/>
      <c r="BL25"/>
      <c r="BM25"/>
    </row>
    <row r="26" spans="1:70" x14ac:dyDescent="0.35">
      <c r="A26" s="106" t="s">
        <v>113</v>
      </c>
      <c r="B26" s="107"/>
      <c r="C26" s="107"/>
      <c r="D26" s="107"/>
      <c r="E26" s="108"/>
      <c r="F26" s="46" t="s">
        <v>10</v>
      </c>
      <c r="G26" s="31"/>
      <c r="BL26"/>
      <c r="BM26"/>
    </row>
    <row r="27" spans="1:70" x14ac:dyDescent="0.35">
      <c r="A27" s="97" t="s">
        <v>114</v>
      </c>
      <c r="B27" s="98"/>
      <c r="C27" s="98"/>
      <c r="D27" s="98"/>
      <c r="E27" s="99"/>
      <c r="F27" s="63"/>
      <c r="G27" s="31"/>
      <c r="BL27"/>
      <c r="BM27"/>
    </row>
    <row r="28" spans="1:70" x14ac:dyDescent="0.35">
      <c r="A28" s="97" t="s">
        <v>11</v>
      </c>
      <c r="B28" s="98"/>
      <c r="C28" s="98"/>
      <c r="D28" s="98"/>
      <c r="E28" s="99"/>
      <c r="F28" s="63"/>
      <c r="G28" s="31"/>
      <c r="BL28"/>
      <c r="BM28"/>
    </row>
    <row r="29" spans="1:70" x14ac:dyDescent="0.35">
      <c r="A29" s="42" t="s">
        <v>115</v>
      </c>
      <c r="B29" s="43"/>
      <c r="C29" s="43"/>
      <c r="D29" s="43"/>
      <c r="E29" s="44"/>
      <c r="F29" s="4">
        <f>SUM(F27:F28)</f>
        <v>0</v>
      </c>
      <c r="G29" s="31"/>
      <c r="BL29"/>
      <c r="BM29"/>
    </row>
    <row r="30" spans="1:70" s="59" customFormat="1" ht="7.5" customHeight="1" x14ac:dyDescent="0.35">
      <c r="A30" s="95"/>
      <c r="B30" s="95"/>
      <c r="C30" s="95"/>
      <c r="D30" s="95"/>
      <c r="E30" s="95"/>
      <c r="F30" s="96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</row>
    <row r="31" spans="1:70" x14ac:dyDescent="0.35">
      <c r="A31" s="92" t="s">
        <v>12</v>
      </c>
      <c r="B31" s="92"/>
      <c r="C31" s="92"/>
      <c r="D31" s="92"/>
      <c r="E31" s="92"/>
      <c r="F31" s="92"/>
      <c r="I31" s="31"/>
    </row>
    <row r="32" spans="1:70" x14ac:dyDescent="0.35">
      <c r="A32" s="174" t="s">
        <v>13</v>
      </c>
      <c r="B32" s="174"/>
      <c r="C32" s="174"/>
      <c r="D32" s="174"/>
      <c r="E32" s="174"/>
      <c r="F32" s="174"/>
      <c r="I32" s="31"/>
    </row>
    <row r="33" spans="1:65" ht="15" customHeight="1" x14ac:dyDescent="0.35">
      <c r="A33" s="5">
        <v>1</v>
      </c>
      <c r="B33" s="111" t="s">
        <v>14</v>
      </c>
      <c r="C33" s="111"/>
      <c r="D33" s="111"/>
      <c r="E33" s="6">
        <f>IF(C16&gt;0,0,20%)</f>
        <v>0.2</v>
      </c>
      <c r="F33" s="173"/>
      <c r="G33" s="30"/>
    </row>
    <row r="34" spans="1:65" ht="15" customHeight="1" x14ac:dyDescent="0.35">
      <c r="A34" s="5">
        <v>2</v>
      </c>
      <c r="B34" s="111" t="s">
        <v>15</v>
      </c>
      <c r="C34" s="111"/>
      <c r="D34" s="111"/>
      <c r="E34" s="6">
        <f>IF($C$12&lt;&gt;"Simples Nacional",1.5%,IF($C$12="Simples Nacional",0,"Informar regime tributário"))</f>
        <v>1.4999999999999999E-2</v>
      </c>
      <c r="F34" s="173"/>
      <c r="G34" s="30"/>
    </row>
    <row r="35" spans="1:65" ht="15" customHeight="1" x14ac:dyDescent="0.35">
      <c r="A35" s="5">
        <v>3</v>
      </c>
      <c r="B35" s="111" t="s">
        <v>16</v>
      </c>
      <c r="C35" s="111"/>
      <c r="D35" s="111"/>
      <c r="E35" s="6">
        <f>IF($C$12&lt;&gt;"Simples Nacional",1%,IF($C$12="Simples Nacional",0,"Informar regime tributário"))</f>
        <v>0.01</v>
      </c>
      <c r="F35" s="173"/>
      <c r="G35" s="30"/>
    </row>
    <row r="36" spans="1:65" ht="15" customHeight="1" x14ac:dyDescent="0.35">
      <c r="A36" s="5">
        <v>4</v>
      </c>
      <c r="B36" s="111" t="s">
        <v>17</v>
      </c>
      <c r="C36" s="111"/>
      <c r="D36" s="111"/>
      <c r="E36" s="6">
        <f>IF($C$12&lt;&gt;"Simples Nacional",0.2%,IF($C$12="Simples Nacional",0,"Informar regime tributário"))</f>
        <v>2E-3</v>
      </c>
      <c r="F36" s="173"/>
      <c r="G36" s="30"/>
    </row>
    <row r="37" spans="1:65" ht="15" customHeight="1" x14ac:dyDescent="0.35">
      <c r="A37" s="5">
        <v>5</v>
      </c>
      <c r="B37" s="111" t="s">
        <v>18</v>
      </c>
      <c r="C37" s="111"/>
      <c r="D37" s="111"/>
      <c r="E37" s="6">
        <f>IF($C$12&lt;&gt;"Simples Nacional",2.5%,IF($C$12="Simples Nacional",0,"Informar regime tributário"))</f>
        <v>2.5000000000000001E-2</v>
      </c>
      <c r="F37" s="173"/>
      <c r="G37" s="30"/>
    </row>
    <row r="38" spans="1:65" ht="15" customHeight="1" x14ac:dyDescent="0.35">
      <c r="A38" s="5">
        <v>6</v>
      </c>
      <c r="B38" s="111" t="s">
        <v>19</v>
      </c>
      <c r="C38" s="111"/>
      <c r="D38" s="111"/>
      <c r="E38" s="6">
        <v>0.08</v>
      </c>
      <c r="F38" s="173"/>
      <c r="G38" s="30"/>
    </row>
    <row r="39" spans="1:65" ht="15" customHeight="1" x14ac:dyDescent="0.35">
      <c r="A39" s="5">
        <v>7</v>
      </c>
      <c r="B39" s="111" t="s">
        <v>20</v>
      </c>
      <c r="C39" s="111"/>
      <c r="D39" s="111"/>
      <c r="E39" s="6">
        <f>IF(C9=0,"Informar SAT",$C$9)</f>
        <v>0.01</v>
      </c>
      <c r="F39" s="173"/>
      <c r="G39" s="30"/>
    </row>
    <row r="40" spans="1:65" ht="15" customHeight="1" x14ac:dyDescent="0.35">
      <c r="A40" s="5">
        <v>8</v>
      </c>
      <c r="B40" s="111" t="s">
        <v>21</v>
      </c>
      <c r="C40" s="111"/>
      <c r="D40" s="111"/>
      <c r="E40" s="6">
        <f>IF($C$12&lt;&gt;"Simples Nacional",0.6%,IF($C$12="Simples Nacional",0,"Informar regime tributário"))</f>
        <v>6.0000000000000001E-3</v>
      </c>
      <c r="F40" s="173"/>
      <c r="G40" s="30"/>
    </row>
    <row r="41" spans="1:65" x14ac:dyDescent="0.35">
      <c r="A41" s="131" t="s">
        <v>90</v>
      </c>
      <c r="B41" s="131"/>
      <c r="C41" s="131"/>
      <c r="D41" s="131"/>
      <c r="E41" s="7">
        <f>SUM(E33:E40)</f>
        <v>0.34800000000000009</v>
      </c>
      <c r="F41" s="173"/>
      <c r="G41" s="31"/>
    </row>
    <row r="42" spans="1:65" s="59" customFormat="1" ht="7.5" customHeight="1" x14ac:dyDescent="0.35">
      <c r="A42" s="95"/>
      <c r="B42" s="95"/>
      <c r="C42" s="95"/>
      <c r="D42" s="95"/>
      <c r="E42" s="95"/>
      <c r="F42" s="96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</row>
    <row r="43" spans="1:65" x14ac:dyDescent="0.35">
      <c r="A43" s="128" t="s">
        <v>22</v>
      </c>
      <c r="B43" s="129"/>
      <c r="C43" s="129"/>
      <c r="D43" s="129"/>
      <c r="E43" s="129"/>
      <c r="F43" s="130"/>
    </row>
    <row r="44" spans="1:65" x14ac:dyDescent="0.35">
      <c r="A44" s="5">
        <v>1</v>
      </c>
      <c r="B44" s="111" t="s">
        <v>23</v>
      </c>
      <c r="C44" s="111"/>
      <c r="D44" s="111"/>
      <c r="E44" s="6">
        <f>ROUND(5/56,4)</f>
        <v>8.9300000000000004E-2</v>
      </c>
      <c r="F44" s="112"/>
    </row>
    <row r="45" spans="1:65" x14ac:dyDescent="0.35">
      <c r="A45" s="5">
        <v>2</v>
      </c>
      <c r="B45" s="111" t="s">
        <v>24</v>
      </c>
      <c r="C45" s="111"/>
      <c r="D45" s="111"/>
      <c r="E45" s="6">
        <f>ROUND($E$44/3,4)</f>
        <v>2.98E-2</v>
      </c>
      <c r="F45" s="113"/>
    </row>
    <row r="46" spans="1:65" x14ac:dyDescent="0.35">
      <c r="A46" s="5">
        <v>3</v>
      </c>
      <c r="B46" s="111" t="s">
        <v>25</v>
      </c>
      <c r="C46" s="111"/>
      <c r="D46" s="111"/>
      <c r="E46" s="6">
        <f>ROUND((E44+E45)*E41,4)</f>
        <v>4.1399999999999999E-2</v>
      </c>
      <c r="F46" s="113"/>
    </row>
    <row r="47" spans="1:65" x14ac:dyDescent="0.35">
      <c r="A47" s="131" t="s">
        <v>89</v>
      </c>
      <c r="B47" s="131"/>
      <c r="C47" s="131"/>
      <c r="D47" s="131"/>
      <c r="E47" s="8">
        <f>SUM(E44:E46)</f>
        <v>0.1605</v>
      </c>
      <c r="F47" s="114"/>
    </row>
    <row r="48" spans="1:65" s="59" customFormat="1" ht="7.5" customHeight="1" x14ac:dyDescent="0.35">
      <c r="A48" s="95"/>
      <c r="B48" s="95"/>
      <c r="C48" s="95"/>
      <c r="D48" s="95"/>
      <c r="E48" s="95"/>
      <c r="F48" s="96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</row>
    <row r="49" spans="1:65" x14ac:dyDescent="0.35">
      <c r="A49" s="128" t="s">
        <v>26</v>
      </c>
      <c r="B49" s="129"/>
      <c r="C49" s="129"/>
      <c r="D49" s="129"/>
      <c r="E49" s="129"/>
      <c r="F49" s="129"/>
    </row>
    <row r="50" spans="1:65" x14ac:dyDescent="0.35">
      <c r="A50" s="5">
        <v>1</v>
      </c>
      <c r="B50" s="111" t="s">
        <v>27</v>
      </c>
      <c r="C50" s="111"/>
      <c r="D50" s="111"/>
      <c r="E50" s="28">
        <v>1.08E-3</v>
      </c>
      <c r="F50" s="112"/>
    </row>
    <row r="51" spans="1:65" x14ac:dyDescent="0.35">
      <c r="A51" s="5">
        <v>2</v>
      </c>
      <c r="B51" s="111" t="s">
        <v>25</v>
      </c>
      <c r="C51" s="111"/>
      <c r="D51" s="111"/>
      <c r="E51" s="6">
        <f>ROUND(E50*E41,4)</f>
        <v>4.0000000000000002E-4</v>
      </c>
      <c r="F51" s="113"/>
    </row>
    <row r="52" spans="1:65" x14ac:dyDescent="0.35">
      <c r="A52" s="131" t="s">
        <v>88</v>
      </c>
      <c r="B52" s="131"/>
      <c r="C52" s="131"/>
      <c r="D52" s="131"/>
      <c r="E52" s="8">
        <f>SUM(E50:E51)</f>
        <v>1.48E-3</v>
      </c>
      <c r="F52" s="114"/>
    </row>
    <row r="53" spans="1:65" s="59" customFormat="1" ht="7.5" customHeight="1" x14ac:dyDescent="0.35">
      <c r="A53" s="95"/>
      <c r="B53" s="95"/>
      <c r="C53" s="95"/>
      <c r="D53" s="95"/>
      <c r="E53" s="95"/>
      <c r="F53" s="96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</row>
    <row r="54" spans="1:65" x14ac:dyDescent="0.35">
      <c r="A54" s="128" t="s">
        <v>28</v>
      </c>
      <c r="B54" s="129"/>
      <c r="C54" s="129"/>
      <c r="D54" s="129"/>
      <c r="E54" s="129"/>
      <c r="F54" s="130"/>
    </row>
    <row r="55" spans="1:65" x14ac:dyDescent="0.35">
      <c r="A55" s="5">
        <v>1</v>
      </c>
      <c r="B55" s="111" t="s">
        <v>29</v>
      </c>
      <c r="C55" s="111"/>
      <c r="D55" s="111"/>
      <c r="E55" s="6">
        <f>ROUND(1/12*5%,4)</f>
        <v>4.1999999999999997E-3</v>
      </c>
      <c r="F55" s="112"/>
    </row>
    <row r="56" spans="1:65" x14ac:dyDescent="0.35">
      <c r="A56" s="5">
        <v>2</v>
      </c>
      <c r="B56" s="147" t="s">
        <v>30</v>
      </c>
      <c r="C56" s="147"/>
      <c r="D56" s="147"/>
      <c r="E56" s="6">
        <f>ROUND($E$55*E38,4)</f>
        <v>2.9999999999999997E-4</v>
      </c>
      <c r="F56" s="113"/>
    </row>
    <row r="57" spans="1:65" x14ac:dyDescent="0.35">
      <c r="A57" s="5">
        <v>3</v>
      </c>
      <c r="B57" s="147" t="s">
        <v>31</v>
      </c>
      <c r="C57" s="147"/>
      <c r="D57" s="147"/>
      <c r="E57" s="6">
        <f>ROUND($E$56*0.5,4)</f>
        <v>2.0000000000000001E-4</v>
      </c>
      <c r="F57" s="113"/>
    </row>
    <row r="58" spans="1:65" x14ac:dyDescent="0.35">
      <c r="A58" s="5">
        <v>4</v>
      </c>
      <c r="B58" s="111" t="s">
        <v>32</v>
      </c>
      <c r="C58" s="111"/>
      <c r="D58" s="111"/>
      <c r="E58" s="6">
        <f>ROUND(1/30/12*7*2%,4)</f>
        <v>4.0000000000000002E-4</v>
      </c>
      <c r="F58" s="113"/>
    </row>
    <row r="59" spans="1:65" x14ac:dyDescent="0.35">
      <c r="A59" s="5">
        <v>5</v>
      </c>
      <c r="B59" s="147" t="s">
        <v>33</v>
      </c>
      <c r="C59" s="147"/>
      <c r="D59" s="147"/>
      <c r="E59" s="6">
        <f>ROUND(E58*$E$41,4)</f>
        <v>1E-4</v>
      </c>
      <c r="F59" s="113"/>
    </row>
    <row r="60" spans="1:65" x14ac:dyDescent="0.35">
      <c r="A60" s="5">
        <v>6</v>
      </c>
      <c r="B60" s="147" t="s">
        <v>34</v>
      </c>
      <c r="C60" s="147"/>
      <c r="D60" s="147"/>
      <c r="E60" s="6">
        <f>ROUND($E$58*0.08*0.5,4)</f>
        <v>0</v>
      </c>
      <c r="F60" s="113"/>
    </row>
    <row r="61" spans="1:65" x14ac:dyDescent="0.35">
      <c r="A61" s="5">
        <v>7</v>
      </c>
      <c r="B61" s="148" t="s">
        <v>35</v>
      </c>
      <c r="C61" s="148"/>
      <c r="D61" s="148"/>
      <c r="E61" s="6">
        <f>ROUND((1%*(1/12)),4)</f>
        <v>8.0000000000000004E-4</v>
      </c>
      <c r="F61" s="113"/>
    </row>
    <row r="62" spans="1:65" x14ac:dyDescent="0.35">
      <c r="A62" s="131" t="s">
        <v>87</v>
      </c>
      <c r="B62" s="131"/>
      <c r="C62" s="131"/>
      <c r="D62" s="131"/>
      <c r="E62" s="8">
        <f>SUM(E55:E61)</f>
        <v>6.0000000000000001E-3</v>
      </c>
      <c r="F62" s="114"/>
    </row>
    <row r="63" spans="1:65" s="59" customFormat="1" ht="7.5" customHeight="1" x14ac:dyDescent="0.35">
      <c r="A63" s="95"/>
      <c r="B63" s="95"/>
      <c r="C63" s="95"/>
      <c r="D63" s="95"/>
      <c r="E63" s="95"/>
      <c r="F63" s="96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</row>
    <row r="64" spans="1:65" x14ac:dyDescent="0.35">
      <c r="A64" s="128" t="s">
        <v>36</v>
      </c>
      <c r="B64" s="129"/>
      <c r="C64" s="129"/>
      <c r="D64" s="129"/>
      <c r="E64" s="129"/>
      <c r="F64" s="130"/>
    </row>
    <row r="65" spans="1:65" x14ac:dyDescent="0.35">
      <c r="A65" s="5">
        <v>1</v>
      </c>
      <c r="B65" s="111" t="s">
        <v>37</v>
      </c>
      <c r="C65" s="111"/>
      <c r="D65" s="111"/>
      <c r="E65" s="6">
        <f>ROUND(1*8%*50%*90%,4)</f>
        <v>3.5999999999999997E-2</v>
      </c>
      <c r="F65" s="112"/>
    </row>
    <row r="66" spans="1:65" x14ac:dyDescent="0.35">
      <c r="A66" s="5">
        <v>2</v>
      </c>
      <c r="B66" s="111" t="s">
        <v>38</v>
      </c>
      <c r="C66" s="111"/>
      <c r="D66" s="111"/>
      <c r="E66" s="6">
        <f>ROUND(($E$44+$E$45)*8%*50%*90%,4)</f>
        <v>4.3E-3</v>
      </c>
      <c r="F66" s="113"/>
    </row>
    <row r="67" spans="1:65" x14ac:dyDescent="0.35">
      <c r="A67" s="5">
        <v>9</v>
      </c>
      <c r="B67" s="111" t="s">
        <v>39</v>
      </c>
      <c r="C67" s="111"/>
      <c r="D67" s="111"/>
      <c r="E67" s="6">
        <f>ROUND($E$44*8%*50%*90%,4)</f>
        <v>3.2000000000000002E-3</v>
      </c>
      <c r="F67" s="113"/>
    </row>
    <row r="68" spans="1:65" x14ac:dyDescent="0.35">
      <c r="A68" s="131" t="s">
        <v>86</v>
      </c>
      <c r="B68" s="131"/>
      <c r="C68" s="131"/>
      <c r="D68" s="131"/>
      <c r="E68" s="8">
        <f>SUM(E65:E67)</f>
        <v>4.3499999999999997E-2</v>
      </c>
      <c r="F68" s="114"/>
    </row>
    <row r="69" spans="1:65" s="59" customFormat="1" ht="7.5" customHeight="1" x14ac:dyDescent="0.35">
      <c r="A69" s="95"/>
      <c r="B69" s="95"/>
      <c r="C69" s="95"/>
      <c r="D69" s="95"/>
      <c r="E69" s="95"/>
      <c r="F69" s="96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</row>
    <row r="70" spans="1:65" x14ac:dyDescent="0.35">
      <c r="A70" s="128" t="s">
        <v>40</v>
      </c>
      <c r="B70" s="129"/>
      <c r="C70" s="129"/>
      <c r="D70" s="129"/>
      <c r="E70" s="129"/>
      <c r="F70" s="130"/>
    </row>
    <row r="71" spans="1:65" x14ac:dyDescent="0.35">
      <c r="A71" s="5">
        <v>1</v>
      </c>
      <c r="B71" s="111" t="s">
        <v>41</v>
      </c>
      <c r="C71" s="111"/>
      <c r="D71" s="111"/>
      <c r="E71" s="6">
        <f>ROUND(5/56,4)</f>
        <v>8.9300000000000004E-2</v>
      </c>
      <c r="F71" s="112"/>
    </row>
    <row r="72" spans="1:65" x14ac:dyDescent="0.35">
      <c r="A72" s="5">
        <v>2</v>
      </c>
      <c r="B72" s="111" t="s">
        <v>42</v>
      </c>
      <c r="C72" s="111"/>
      <c r="D72" s="111"/>
      <c r="E72" s="6">
        <f>ROUND((5.96/30)/12,4)</f>
        <v>1.66E-2</v>
      </c>
      <c r="F72" s="113"/>
    </row>
    <row r="73" spans="1:65" x14ac:dyDescent="0.35">
      <c r="A73" s="5">
        <v>3</v>
      </c>
      <c r="B73" s="111" t="s">
        <v>43</v>
      </c>
      <c r="C73" s="111"/>
      <c r="D73" s="111"/>
      <c r="E73" s="28">
        <f>5/30/12*1.5%</f>
        <v>2.0833333333333332E-4</v>
      </c>
      <c r="F73" s="113"/>
    </row>
    <row r="74" spans="1:65" x14ac:dyDescent="0.35">
      <c r="A74" s="5">
        <v>4</v>
      </c>
      <c r="B74" s="111" t="s">
        <v>44</v>
      </c>
      <c r="C74" s="111"/>
      <c r="D74" s="111"/>
      <c r="E74" s="6">
        <f>ROUND(2.96/360,4)</f>
        <v>8.2000000000000007E-3</v>
      </c>
      <c r="F74" s="113"/>
    </row>
    <row r="75" spans="1:65" x14ac:dyDescent="0.35">
      <c r="A75" s="5">
        <v>5</v>
      </c>
      <c r="B75" s="111" t="s">
        <v>45</v>
      </c>
      <c r="C75" s="111"/>
      <c r="D75" s="111"/>
      <c r="E75" s="6">
        <f>ROUND((15/30)/12*0.78%,4)</f>
        <v>2.9999999999999997E-4</v>
      </c>
      <c r="F75" s="113"/>
    </row>
    <row r="76" spans="1:65" x14ac:dyDescent="0.35">
      <c r="A76" s="5">
        <v>6</v>
      </c>
      <c r="B76" s="111" t="s">
        <v>25</v>
      </c>
      <c r="C76" s="111"/>
      <c r="D76" s="111"/>
      <c r="E76" s="6">
        <f>ROUND(SUM(E71:E75)*$E$41,4)</f>
        <v>3.9899999999999998E-2</v>
      </c>
      <c r="F76" s="113"/>
    </row>
    <row r="77" spans="1:65" x14ac:dyDescent="0.35">
      <c r="A77" s="131" t="s">
        <v>85</v>
      </c>
      <c r="B77" s="131"/>
      <c r="C77" s="131"/>
      <c r="D77" s="131"/>
      <c r="E77" s="8">
        <f>SUM(E71:E76)</f>
        <v>0.15450833333333333</v>
      </c>
      <c r="F77" s="114"/>
    </row>
    <row r="78" spans="1:65" s="59" customFormat="1" ht="7.5" customHeight="1" x14ac:dyDescent="0.35">
      <c r="A78" s="95"/>
      <c r="B78" s="95"/>
      <c r="C78" s="95"/>
      <c r="D78" s="95"/>
      <c r="E78" s="95"/>
      <c r="F78" s="96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</row>
    <row r="79" spans="1:65" x14ac:dyDescent="0.35">
      <c r="A79" s="132" t="s">
        <v>46</v>
      </c>
      <c r="B79" s="133"/>
      <c r="C79" s="133"/>
      <c r="D79" s="134"/>
      <c r="E79" s="10">
        <f>E77+E68+E62+E52+E47+E41</f>
        <v>0.71398833333333345</v>
      </c>
      <c r="F79" s="19">
        <f>ROUND($E79*$F$29,2)</f>
        <v>0</v>
      </c>
    </row>
    <row r="80" spans="1:65" s="59" customFormat="1" ht="7.5" customHeight="1" x14ac:dyDescent="0.35">
      <c r="A80" s="95"/>
      <c r="B80" s="95"/>
      <c r="C80" s="95"/>
      <c r="D80" s="95"/>
      <c r="E80" s="95"/>
      <c r="F80" s="96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</row>
    <row r="81" spans="1:65" x14ac:dyDescent="0.35">
      <c r="A81" s="128" t="s">
        <v>47</v>
      </c>
      <c r="B81" s="129"/>
      <c r="C81" s="129"/>
      <c r="D81" s="129"/>
      <c r="E81" s="129"/>
      <c r="F81" s="12" t="s">
        <v>10</v>
      </c>
    </row>
    <row r="82" spans="1:65" x14ac:dyDescent="0.35">
      <c r="A82" s="172" t="s">
        <v>48</v>
      </c>
      <c r="B82" s="172"/>
      <c r="C82" s="172"/>
      <c r="D82" s="172"/>
      <c r="E82" s="172"/>
      <c r="F82" s="41"/>
    </row>
    <row r="83" spans="1:65" x14ac:dyDescent="0.35">
      <c r="A83" s="2"/>
      <c r="B83" s="117" t="s">
        <v>49</v>
      </c>
      <c r="C83" s="118"/>
      <c r="D83" s="2" t="s">
        <v>50</v>
      </c>
      <c r="E83" s="2" t="s">
        <v>51</v>
      </c>
      <c r="F83" s="13"/>
    </row>
    <row r="84" spans="1:65" x14ac:dyDescent="0.35">
      <c r="A84" s="2">
        <v>1</v>
      </c>
      <c r="B84" s="14" t="s">
        <v>52</v>
      </c>
      <c r="C84" s="119">
        <f>$C$18</f>
        <v>22</v>
      </c>
      <c r="D84" s="63">
        <v>21.9</v>
      </c>
      <c r="E84" s="26">
        <v>0</v>
      </c>
      <c r="F84" s="3">
        <f>($D$84-$E$84)*$C$84</f>
        <v>481.79999999999995</v>
      </c>
    </row>
    <row r="85" spans="1:65" x14ac:dyDescent="0.35">
      <c r="A85" s="2">
        <v>2</v>
      </c>
      <c r="B85" s="14" t="s">
        <v>107</v>
      </c>
      <c r="C85" s="120"/>
      <c r="D85" s="63">
        <v>8.6</v>
      </c>
      <c r="E85" s="3">
        <f>IF(ROUND($F$27*0.06,2)&gt;(C84*D85),0,ROUND($F$27*0.06,2))</f>
        <v>0</v>
      </c>
      <c r="F85" s="15">
        <f>IF($E$85&gt;0,($D$85*$C$84)-$E$85,0)</f>
        <v>0</v>
      </c>
    </row>
    <row r="86" spans="1:65" x14ac:dyDescent="0.35">
      <c r="A86" s="121" t="s">
        <v>53</v>
      </c>
      <c r="B86" s="122"/>
      <c r="C86" s="122"/>
      <c r="D86" s="122"/>
      <c r="E86" s="122"/>
      <c r="F86" s="123"/>
    </row>
    <row r="87" spans="1:65" x14ac:dyDescent="0.35">
      <c r="A87" s="2">
        <v>3</v>
      </c>
      <c r="B87" s="87" t="s">
        <v>143</v>
      </c>
      <c r="C87" s="88"/>
      <c r="D87" s="88"/>
      <c r="E87" s="89"/>
      <c r="F87" s="26">
        <v>0</v>
      </c>
    </row>
    <row r="88" spans="1:65" s="59" customFormat="1" x14ac:dyDescent="0.35">
      <c r="A88" s="2">
        <v>4</v>
      </c>
      <c r="B88" s="87" t="s">
        <v>145</v>
      </c>
      <c r="C88" s="88"/>
      <c r="D88" s="88"/>
      <c r="E88" s="89"/>
      <c r="F88" s="63">
        <v>0</v>
      </c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8"/>
      <c r="BA88" s="68"/>
      <c r="BB88" s="68"/>
      <c r="BC88" s="68"/>
      <c r="BD88" s="68"/>
      <c r="BE88" s="68"/>
      <c r="BF88" s="68"/>
      <c r="BG88" s="68"/>
      <c r="BH88" s="68"/>
      <c r="BI88" s="68"/>
      <c r="BJ88" s="68"/>
      <c r="BK88" s="68"/>
      <c r="BL88" s="68"/>
      <c r="BM88" s="68"/>
    </row>
    <row r="89" spans="1:65" x14ac:dyDescent="0.35">
      <c r="A89" s="2">
        <v>5</v>
      </c>
      <c r="B89" s="87" t="s">
        <v>144</v>
      </c>
      <c r="C89" s="88"/>
      <c r="D89" s="88"/>
      <c r="E89" s="89"/>
      <c r="F89" s="26">
        <v>6.78</v>
      </c>
    </row>
    <row r="90" spans="1:65" x14ac:dyDescent="0.35">
      <c r="A90" s="121" t="s">
        <v>54</v>
      </c>
      <c r="B90" s="122"/>
      <c r="C90" s="122"/>
      <c r="D90" s="122"/>
      <c r="E90" s="122"/>
      <c r="F90" s="123"/>
    </row>
    <row r="91" spans="1:65" x14ac:dyDescent="0.35">
      <c r="A91" s="2">
        <v>6</v>
      </c>
      <c r="B91" s="87" t="s">
        <v>55</v>
      </c>
      <c r="C91" s="88"/>
      <c r="D91" s="88"/>
      <c r="E91" s="89"/>
      <c r="F91" s="26">
        <v>0</v>
      </c>
    </row>
    <row r="92" spans="1:65" x14ac:dyDescent="0.35">
      <c r="A92" s="2">
        <v>7</v>
      </c>
      <c r="B92" s="87" t="s">
        <v>56</v>
      </c>
      <c r="C92" s="88"/>
      <c r="D92" s="16" t="s">
        <v>57</v>
      </c>
      <c r="E92" s="28">
        <v>0</v>
      </c>
      <c r="F92" s="15">
        <f>ROUND($E$92*$F$29,2)</f>
        <v>0</v>
      </c>
    </row>
    <row r="93" spans="1:65" x14ac:dyDescent="0.35">
      <c r="A93" s="2">
        <v>8</v>
      </c>
      <c r="B93" s="87" t="s">
        <v>58</v>
      </c>
      <c r="C93" s="88"/>
      <c r="D93" s="88"/>
      <c r="E93" s="89"/>
      <c r="F93" s="26">
        <v>270</v>
      </c>
    </row>
    <row r="94" spans="1:65" x14ac:dyDescent="0.35">
      <c r="A94" s="2">
        <v>9</v>
      </c>
      <c r="B94" s="87" t="s">
        <v>76</v>
      </c>
      <c r="C94" s="88"/>
      <c r="D94" s="88"/>
      <c r="E94" s="89"/>
      <c r="F94" s="26">
        <v>0</v>
      </c>
    </row>
    <row r="95" spans="1:65" x14ac:dyDescent="0.35">
      <c r="A95" s="103" t="s">
        <v>84</v>
      </c>
      <c r="B95" s="104"/>
      <c r="C95" s="104"/>
      <c r="D95" s="104"/>
      <c r="E95" s="105"/>
      <c r="F95" s="37">
        <f>F84+F85+F87+F88+F89+F91+F92+F93+F94</f>
        <v>758.57999999999993</v>
      </c>
    </row>
    <row r="96" spans="1:65" x14ac:dyDescent="0.35">
      <c r="A96" s="126"/>
      <c r="B96" s="126"/>
      <c r="C96" s="126"/>
      <c r="D96" s="126"/>
      <c r="E96" s="126"/>
      <c r="F96" s="127"/>
    </row>
    <row r="97" spans="1:65" x14ac:dyDescent="0.35">
      <c r="A97" s="128" t="s">
        <v>59</v>
      </c>
      <c r="B97" s="129"/>
      <c r="C97" s="129"/>
      <c r="D97" s="129"/>
      <c r="E97" s="130"/>
      <c r="F97" s="1" t="s">
        <v>10</v>
      </c>
    </row>
    <row r="98" spans="1:65" x14ac:dyDescent="0.35">
      <c r="A98" s="5">
        <v>1</v>
      </c>
      <c r="B98" s="87" t="s">
        <v>78</v>
      </c>
      <c r="C98" s="88"/>
      <c r="D98" s="88"/>
      <c r="E98" s="89"/>
      <c r="F98" s="26">
        <v>0</v>
      </c>
    </row>
    <row r="99" spans="1:65" x14ac:dyDescent="0.35">
      <c r="A99" s="5">
        <v>2</v>
      </c>
      <c r="B99" s="87" t="s">
        <v>76</v>
      </c>
      <c r="C99" s="88"/>
      <c r="D99" s="88"/>
      <c r="E99" s="89"/>
      <c r="F99" s="26">
        <v>0</v>
      </c>
    </row>
    <row r="100" spans="1:65" x14ac:dyDescent="0.35">
      <c r="A100" s="103" t="s">
        <v>60</v>
      </c>
      <c r="B100" s="104"/>
      <c r="C100" s="104"/>
      <c r="D100" s="104"/>
      <c r="E100" s="105"/>
      <c r="F100" s="4">
        <f>F98</f>
        <v>0</v>
      </c>
    </row>
    <row r="101" spans="1:65" s="59" customFormat="1" ht="7.5" customHeight="1" x14ac:dyDescent="0.35">
      <c r="A101" s="95"/>
      <c r="B101" s="95"/>
      <c r="C101" s="95"/>
      <c r="D101" s="95"/>
      <c r="E101" s="95"/>
      <c r="F101" s="96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68"/>
    </row>
    <row r="102" spans="1:65" x14ac:dyDescent="0.35">
      <c r="A102" s="103" t="s">
        <v>83</v>
      </c>
      <c r="B102" s="104"/>
      <c r="C102" s="104"/>
      <c r="D102" s="104"/>
      <c r="E102" s="105"/>
      <c r="F102" s="37">
        <f>F$100+F$95+F$79+$F$29</f>
        <v>758.57999999999993</v>
      </c>
      <c r="I102" s="69"/>
    </row>
    <row r="103" spans="1:65" s="59" customFormat="1" ht="7.5" customHeight="1" x14ac:dyDescent="0.35">
      <c r="A103" s="95"/>
      <c r="B103" s="95"/>
      <c r="C103" s="95"/>
      <c r="D103" s="95"/>
      <c r="E103" s="95"/>
      <c r="F103" s="96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68"/>
    </row>
    <row r="104" spans="1:65" x14ac:dyDescent="0.35">
      <c r="A104" s="137" t="s">
        <v>131</v>
      </c>
      <c r="B104" s="138"/>
      <c r="C104" s="138"/>
      <c r="D104" s="139"/>
      <c r="E104" s="17" t="s">
        <v>57</v>
      </c>
      <c r="F104" s="1" t="s">
        <v>61</v>
      </c>
    </row>
    <row r="105" spans="1:65" ht="15" customHeight="1" x14ac:dyDescent="0.35">
      <c r="A105" s="5">
        <v>1</v>
      </c>
      <c r="B105" s="140" t="s">
        <v>62</v>
      </c>
      <c r="C105" s="141"/>
      <c r="D105" s="142"/>
      <c r="E105" s="6">
        <f>$C$10</f>
        <v>0.04</v>
      </c>
      <c r="F105" s="143"/>
    </row>
    <row r="106" spans="1:65" ht="15" customHeight="1" x14ac:dyDescent="0.35">
      <c r="A106" s="5">
        <v>2</v>
      </c>
      <c r="B106" s="140" t="s">
        <v>63</v>
      </c>
      <c r="C106" s="141"/>
      <c r="D106" s="142"/>
      <c r="E106" s="6">
        <f>$C$11</f>
        <v>0.11749999999999999</v>
      </c>
      <c r="F106" s="144"/>
    </row>
    <row r="107" spans="1:65" ht="15" customHeight="1" x14ac:dyDescent="0.35">
      <c r="A107" s="5">
        <v>3</v>
      </c>
      <c r="B107" s="140" t="s">
        <v>64</v>
      </c>
      <c r="C107" s="141"/>
      <c r="D107" s="142"/>
      <c r="E107" s="6">
        <f>$C$14</f>
        <v>1.6500000000000001E-2</v>
      </c>
      <c r="F107" s="144"/>
    </row>
    <row r="108" spans="1:65" ht="15" customHeight="1" x14ac:dyDescent="0.35">
      <c r="A108" s="5">
        <v>4</v>
      </c>
      <c r="B108" s="140" t="s">
        <v>65</v>
      </c>
      <c r="C108" s="141"/>
      <c r="D108" s="142"/>
      <c r="E108" s="6">
        <f>$C$13</f>
        <v>7.5999999999999998E-2</v>
      </c>
      <c r="F108" s="144"/>
    </row>
    <row r="109" spans="1:65" s="21" customFormat="1" ht="15" customHeight="1" x14ac:dyDescent="0.35">
      <c r="A109" s="5">
        <v>5</v>
      </c>
      <c r="B109" s="140" t="s">
        <v>5</v>
      </c>
      <c r="C109" s="141"/>
      <c r="D109" s="142"/>
      <c r="E109" s="6">
        <f>$C$15</f>
        <v>0.05</v>
      </c>
      <c r="F109" s="144"/>
    </row>
    <row r="110" spans="1:65" s="21" customFormat="1" ht="15" customHeight="1" x14ac:dyDescent="0.35">
      <c r="A110" s="9">
        <v>6</v>
      </c>
      <c r="B110" s="140" t="s">
        <v>102</v>
      </c>
      <c r="C110" s="141"/>
      <c r="D110" s="142"/>
      <c r="E110" s="20">
        <f>$C$16</f>
        <v>0</v>
      </c>
      <c r="F110" s="145"/>
    </row>
    <row r="111" spans="1:65" s="21" customFormat="1" ht="15" customHeight="1" x14ac:dyDescent="0.35">
      <c r="A111" s="103" t="s">
        <v>66</v>
      </c>
      <c r="B111" s="104"/>
      <c r="C111" s="104"/>
      <c r="D111" s="105"/>
      <c r="E111" s="18">
        <f>ROUND((1+E105)*(1+E106)/(1-E109-E108-E107-E110)-1,4)</f>
        <v>0.3553</v>
      </c>
      <c r="F111" s="4">
        <f>ROUND($E$111*F$102,2)</f>
        <v>269.52</v>
      </c>
      <c r="I111" s="69"/>
    </row>
    <row r="112" spans="1:65" s="59" customFormat="1" ht="7.5" customHeight="1" x14ac:dyDescent="0.35">
      <c r="A112" s="95"/>
      <c r="B112" s="95"/>
      <c r="C112" s="95"/>
      <c r="D112" s="95"/>
      <c r="E112" s="95"/>
      <c r="F112" s="96"/>
      <c r="G112" s="68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68"/>
    </row>
    <row r="113" spans="1:65" s="21" customFormat="1" ht="15.75" customHeight="1" x14ac:dyDescent="0.35">
      <c r="A113" s="132" t="s">
        <v>67</v>
      </c>
      <c r="B113" s="133"/>
      <c r="C113" s="133"/>
      <c r="D113" s="133"/>
      <c r="E113" s="134"/>
      <c r="F113" s="19">
        <f>F102+F111</f>
        <v>1028.0999999999999</v>
      </c>
    </row>
    <row r="114" spans="1:65" s="59" customFormat="1" ht="7.5" customHeight="1" x14ac:dyDescent="0.35">
      <c r="A114" s="95"/>
      <c r="B114" s="95"/>
      <c r="C114" s="95"/>
      <c r="D114" s="95"/>
      <c r="E114" s="95"/>
      <c r="F114" s="96"/>
      <c r="G114" s="68"/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68"/>
    </row>
    <row r="115" spans="1:65" s="21" customFormat="1" ht="15.75" customHeight="1" x14ac:dyDescent="0.35">
      <c r="A115" s="132" t="s">
        <v>77</v>
      </c>
      <c r="B115" s="133"/>
      <c r="C115" s="133"/>
      <c r="D115" s="133"/>
      <c r="E115" s="134"/>
      <c r="F115" s="11">
        <f>F$113*$F$23</f>
        <v>1028.0999999999999</v>
      </c>
    </row>
    <row r="116" spans="1:65" s="59" customFormat="1" ht="7.5" customHeight="1" x14ac:dyDescent="0.35">
      <c r="A116" s="95"/>
      <c r="B116" s="95"/>
      <c r="C116" s="95"/>
      <c r="D116" s="95"/>
      <c r="E116" s="95"/>
      <c r="F116" s="96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68"/>
    </row>
    <row r="117" spans="1:65" s="21" customFormat="1" ht="15.75" customHeight="1" x14ac:dyDescent="0.35">
      <c r="A117" s="103" t="s">
        <v>68</v>
      </c>
      <c r="B117" s="104"/>
      <c r="C117" s="104"/>
      <c r="D117" s="104"/>
      <c r="E117" s="105"/>
      <c r="F117" s="4">
        <f>F$113/$C$84</f>
        <v>46.731818181818177</v>
      </c>
    </row>
    <row r="118" spans="1:65" s="59" customFormat="1" ht="7.5" customHeight="1" x14ac:dyDescent="0.35">
      <c r="A118" s="95"/>
      <c r="B118" s="95"/>
      <c r="C118" s="95"/>
      <c r="D118" s="95"/>
      <c r="E118" s="95"/>
      <c r="F118" s="96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68"/>
    </row>
    <row r="119" spans="1:65" s="21" customFormat="1" ht="15" customHeight="1" x14ac:dyDescent="0.35">
      <c r="A119" s="170" t="s">
        <v>91</v>
      </c>
      <c r="B119" s="171"/>
      <c r="C119" s="171"/>
      <c r="D119" s="171"/>
      <c r="E119" s="171"/>
      <c r="F119" s="171"/>
    </row>
    <row r="120" spans="1:65" s="21" customFormat="1" ht="15" customHeight="1" x14ac:dyDescent="0.35">
      <c r="A120" s="5" t="s">
        <v>92</v>
      </c>
      <c r="B120" s="97" t="s">
        <v>108</v>
      </c>
      <c r="C120" s="98"/>
      <c r="D120" s="98"/>
      <c r="E120" s="99"/>
      <c r="F120" s="33">
        <f>$F$29*$F$23</f>
        <v>0</v>
      </c>
    </row>
    <row r="121" spans="1:65" s="21" customFormat="1" ht="15" customHeight="1" x14ac:dyDescent="0.35">
      <c r="A121" s="5" t="s">
        <v>93</v>
      </c>
      <c r="B121" s="97" t="s">
        <v>39</v>
      </c>
      <c r="C121" s="98"/>
      <c r="D121" s="99"/>
      <c r="E121" s="32">
        <f>$E$44</f>
        <v>8.9300000000000004E-2</v>
      </c>
      <c r="F121" s="33">
        <f>ROUND(F$120*$E121,2)</f>
        <v>0</v>
      </c>
    </row>
    <row r="122" spans="1:65" s="21" customFormat="1" ht="15" customHeight="1" x14ac:dyDescent="0.35">
      <c r="A122" s="5" t="s">
        <v>94</v>
      </c>
      <c r="B122" s="97" t="s">
        <v>41</v>
      </c>
      <c r="C122" s="98"/>
      <c r="D122" s="99"/>
      <c r="E122" s="32">
        <f>$E$71</f>
        <v>8.9300000000000004E-2</v>
      </c>
      <c r="F122" s="33">
        <f>ROUND(F$120*$E122,2)</f>
        <v>0</v>
      </c>
    </row>
    <row r="123" spans="1:65" s="21" customFormat="1" ht="15" customHeight="1" x14ac:dyDescent="0.35">
      <c r="A123" s="5" t="s">
        <v>95</v>
      </c>
      <c r="B123" s="97" t="s">
        <v>96</v>
      </c>
      <c r="C123" s="98"/>
      <c r="D123" s="99"/>
      <c r="E123" s="32">
        <f>$E$45</f>
        <v>2.98E-2</v>
      </c>
      <c r="F123" s="33">
        <f>ROUND(F$120*$E123,2)</f>
        <v>0</v>
      </c>
    </row>
    <row r="124" spans="1:65" s="21" customFormat="1" ht="15" customHeight="1" x14ac:dyDescent="0.35">
      <c r="A124" s="5" t="s">
        <v>97</v>
      </c>
      <c r="B124" s="97" t="s">
        <v>101</v>
      </c>
      <c r="C124" s="99"/>
      <c r="D124" s="34" t="str">
        <f>CONCATENATE("Percentual:  ",TEXT($E$41,"0,00%"))</f>
        <v>Percentual:  34,80%</v>
      </c>
      <c r="E124" s="32">
        <f>ROUND($E$41*SUM(E121:E123),4)</f>
        <v>7.2499999999999995E-2</v>
      </c>
      <c r="F124" s="33">
        <f>ROUND(F$120*$E124,2)</f>
        <v>0</v>
      </c>
    </row>
    <row r="125" spans="1:65" s="21" customFormat="1" ht="15" customHeight="1" x14ac:dyDescent="0.35">
      <c r="A125" s="5" t="s">
        <v>98</v>
      </c>
      <c r="B125" s="97" t="s">
        <v>99</v>
      </c>
      <c r="C125" s="98"/>
      <c r="D125" s="99"/>
      <c r="E125" s="32">
        <f>$E$68</f>
        <v>4.3499999999999997E-2</v>
      </c>
      <c r="F125" s="33">
        <f>ROUND(F$120*$E125,2)</f>
        <v>0</v>
      </c>
    </row>
    <row r="126" spans="1:65" s="21" customFormat="1" ht="15" customHeight="1" x14ac:dyDescent="0.35">
      <c r="A126" s="39" t="s">
        <v>100</v>
      </c>
      <c r="B126" s="40"/>
      <c r="C126" s="40"/>
      <c r="D126" s="40"/>
      <c r="E126" s="35">
        <f t="shared" ref="E126:F126" si="0">SUM(E121:E125)</f>
        <v>0.32439999999999997</v>
      </c>
      <c r="F126" s="36">
        <f t="shared" si="0"/>
        <v>0</v>
      </c>
      <c r="G126" s="25"/>
    </row>
    <row r="127" spans="1:65" s="59" customFormat="1" ht="7.5" customHeight="1" x14ac:dyDescent="0.35">
      <c r="A127" s="95"/>
      <c r="B127" s="95"/>
      <c r="C127" s="95"/>
      <c r="D127" s="95"/>
      <c r="E127" s="95"/>
      <c r="F127" s="96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68"/>
    </row>
    <row r="128" spans="1:65" s="21" customFormat="1" ht="15" customHeight="1" x14ac:dyDescent="0.35">
      <c r="A128" s="92" t="s">
        <v>117</v>
      </c>
      <c r="B128" s="92"/>
      <c r="C128" s="92"/>
      <c r="D128" s="92"/>
      <c r="E128" s="92"/>
      <c r="F128" s="92"/>
    </row>
    <row r="129" spans="1:7" s="48" customFormat="1" ht="15" customHeight="1" x14ac:dyDescent="0.35">
      <c r="A129" s="56" t="s">
        <v>118</v>
      </c>
      <c r="B129" s="106" t="s">
        <v>119</v>
      </c>
      <c r="C129" s="107"/>
      <c r="D129" s="107"/>
      <c r="E129" s="108"/>
      <c r="F129" s="57" t="s">
        <v>120</v>
      </c>
    </row>
    <row r="130" spans="1:7" s="48" customFormat="1" ht="15" customHeight="1" x14ac:dyDescent="0.35">
      <c r="A130" s="51">
        <v>1</v>
      </c>
      <c r="B130" s="97" t="s">
        <v>121</v>
      </c>
      <c r="C130" s="98"/>
      <c r="D130" s="98"/>
      <c r="E130" s="99"/>
      <c r="F130" s="58">
        <f>$F$84/$C$18</f>
        <v>21.9</v>
      </c>
    </row>
    <row r="131" spans="1:7" s="48" customFormat="1" ht="15" customHeight="1" x14ac:dyDescent="0.35">
      <c r="A131" s="51">
        <v>2</v>
      </c>
      <c r="B131" s="97" t="s">
        <v>122</v>
      </c>
      <c r="C131" s="98"/>
      <c r="D131" s="98"/>
      <c r="E131" s="99"/>
      <c r="F131" s="58">
        <f>$F$85/$C$18</f>
        <v>0</v>
      </c>
    </row>
    <row r="132" spans="1:7" s="48" customFormat="1" ht="15" customHeight="1" x14ac:dyDescent="0.35">
      <c r="A132" s="51">
        <v>3</v>
      </c>
      <c r="B132" s="97" t="s">
        <v>128</v>
      </c>
      <c r="C132" s="98"/>
      <c r="D132" s="98"/>
      <c r="E132" s="99"/>
      <c r="F132" s="58">
        <f>$F$100/$C$18</f>
        <v>0</v>
      </c>
    </row>
    <row r="133" spans="1:7" s="48" customFormat="1" ht="15" customHeight="1" x14ac:dyDescent="0.35">
      <c r="A133" s="51">
        <v>4</v>
      </c>
      <c r="B133" s="97" t="s">
        <v>123</v>
      </c>
      <c r="C133" s="98"/>
      <c r="D133" s="98"/>
      <c r="E133" s="99"/>
      <c r="F133" s="58">
        <f>ROUND($F$29*$E$77,2)/$C$18</f>
        <v>0</v>
      </c>
    </row>
    <row r="134" spans="1:7" s="48" customFormat="1" ht="15" customHeight="1" x14ac:dyDescent="0.35">
      <c r="A134" s="100" t="s">
        <v>124</v>
      </c>
      <c r="B134" s="101"/>
      <c r="C134" s="101"/>
      <c r="D134" s="101"/>
      <c r="E134" s="102"/>
      <c r="F134" s="50">
        <f>SUM(F130:F133)</f>
        <v>21.9</v>
      </c>
    </row>
    <row r="135" spans="1:7" s="48" customFormat="1" ht="15" customHeight="1" x14ac:dyDescent="0.35">
      <c r="A135" s="51">
        <v>5</v>
      </c>
      <c r="B135" s="97" t="s">
        <v>125</v>
      </c>
      <c r="C135" s="99"/>
      <c r="D135" s="53" t="s">
        <v>57</v>
      </c>
      <c r="E135" s="55">
        <f>$C$17</f>
        <v>0.3553</v>
      </c>
      <c r="F135" s="49">
        <f>ROUND($E$135*$F$134,2)</f>
        <v>7.78</v>
      </c>
    </row>
    <row r="136" spans="1:7" s="48" customFormat="1" ht="15" customHeight="1" x14ac:dyDescent="0.35">
      <c r="A136" s="103" t="s">
        <v>126</v>
      </c>
      <c r="B136" s="104"/>
      <c r="C136" s="104"/>
      <c r="D136" s="104"/>
      <c r="E136" s="105"/>
      <c r="F136" s="52">
        <f>$F$134+$F$135</f>
        <v>29.68</v>
      </c>
    </row>
    <row r="137" spans="1:7" s="54" customFormat="1" ht="10.5" x14ac:dyDescent="0.35">
      <c r="A137" s="38"/>
      <c r="B137" s="38"/>
      <c r="C137" s="38"/>
      <c r="D137" s="38"/>
      <c r="E137" s="38"/>
      <c r="F137" s="38"/>
    </row>
    <row r="138" spans="1:7" s="48" customFormat="1" ht="15" customHeight="1" x14ac:dyDescent="0.35">
      <c r="A138" s="42" t="s">
        <v>127</v>
      </c>
      <c r="B138" s="43"/>
      <c r="C138" s="43"/>
      <c r="D138" s="43"/>
      <c r="E138" s="44"/>
      <c r="F138" s="52">
        <f>$F$136*$F$23</f>
        <v>29.68</v>
      </c>
    </row>
    <row r="139" spans="1:7" s="54" customFormat="1" ht="10.5" x14ac:dyDescent="0.35">
      <c r="A139" s="38"/>
      <c r="B139" s="38"/>
      <c r="C139" s="38"/>
      <c r="D139" s="38"/>
      <c r="E139" s="38"/>
      <c r="F139" s="38"/>
    </row>
    <row r="140" spans="1:7" s="21" customFormat="1" ht="10.5" x14ac:dyDescent="0.35">
      <c r="A140" s="124" t="s">
        <v>103</v>
      </c>
      <c r="B140" s="125"/>
      <c r="C140" s="125"/>
      <c r="D140" s="125"/>
      <c r="E140" s="125"/>
      <c r="F140" s="125"/>
      <c r="G140" s="47"/>
    </row>
    <row r="141" spans="1:7" s="21" customFormat="1" ht="10.5" x14ac:dyDescent="0.35">
      <c r="A141" s="115"/>
      <c r="B141" s="116"/>
      <c r="C141" s="116"/>
      <c r="D141" s="116"/>
      <c r="E141" s="116"/>
      <c r="F141" s="116"/>
      <c r="G141" s="47"/>
    </row>
    <row r="142" spans="1:7" s="21" customFormat="1" ht="17.25" customHeight="1" x14ac:dyDescent="0.35">
      <c r="A142" s="109" t="s">
        <v>130</v>
      </c>
      <c r="B142" s="110"/>
      <c r="C142" s="110"/>
      <c r="D142" s="110"/>
      <c r="E142" s="110"/>
      <c r="F142" s="110"/>
      <c r="G142" s="47"/>
    </row>
    <row r="143" spans="1:7" s="21" customFormat="1" ht="17.25" customHeight="1" x14ac:dyDescent="0.35">
      <c r="A143" s="109" t="s">
        <v>104</v>
      </c>
      <c r="B143" s="110"/>
      <c r="C143" s="110"/>
      <c r="D143" s="110"/>
      <c r="E143" s="110"/>
      <c r="F143" s="110"/>
      <c r="G143" s="47"/>
    </row>
    <row r="144" spans="1:7" s="21" customFormat="1" ht="17.25" customHeight="1" x14ac:dyDescent="0.35">
      <c r="A144" s="109" t="s">
        <v>105</v>
      </c>
      <c r="B144" s="110"/>
      <c r="C144" s="110"/>
      <c r="D144" s="110"/>
      <c r="E144" s="110"/>
      <c r="F144" s="110"/>
      <c r="G144" s="47"/>
    </row>
    <row r="145" spans="1:7" s="21" customFormat="1" ht="17.25" customHeight="1" x14ac:dyDescent="0.35">
      <c r="A145" s="109" t="s">
        <v>138</v>
      </c>
      <c r="B145" s="110"/>
      <c r="C145" s="110"/>
      <c r="D145" s="110"/>
      <c r="E145" s="110"/>
      <c r="F145" s="110"/>
      <c r="G145" s="47"/>
    </row>
    <row r="146" spans="1:7" s="54" customFormat="1" ht="42" customHeight="1" x14ac:dyDescent="0.35">
      <c r="A146" s="93" t="s">
        <v>139</v>
      </c>
      <c r="B146" s="94"/>
      <c r="C146" s="94"/>
      <c r="D146" s="94"/>
      <c r="E146" s="94"/>
      <c r="F146" s="94"/>
    </row>
    <row r="147" spans="1:7" s="21" customFormat="1" ht="42" customHeight="1" x14ac:dyDescent="0.35">
      <c r="A147" s="93" t="s">
        <v>140</v>
      </c>
      <c r="B147" s="94"/>
      <c r="C147" s="94"/>
      <c r="D147" s="94"/>
      <c r="E147" s="94"/>
      <c r="F147" s="94"/>
      <c r="G147" s="47"/>
    </row>
    <row r="148" spans="1:7" s="21" customFormat="1" ht="15" customHeight="1" x14ac:dyDescent="0.35">
      <c r="A148" s="29"/>
      <c r="B148" s="29"/>
      <c r="C148" s="29"/>
      <c r="D148" s="29"/>
      <c r="E148" s="29"/>
      <c r="F148" s="29"/>
      <c r="G148" s="47"/>
    </row>
    <row r="149" spans="1:7" s="21" customFormat="1" ht="10.5" x14ac:dyDescent="0.35">
      <c r="A149" s="47"/>
      <c r="B149" s="47"/>
      <c r="C149" s="47"/>
      <c r="D149" s="47"/>
      <c r="E149" s="47"/>
      <c r="F149" s="47"/>
      <c r="G149" s="47"/>
    </row>
    <row r="150" spans="1:7" s="21" customFormat="1" ht="10.5" x14ac:dyDescent="0.35">
      <c r="A150" s="47"/>
      <c r="B150" s="47"/>
      <c r="C150" s="47"/>
      <c r="D150" s="47"/>
      <c r="E150" s="47"/>
      <c r="F150" s="47"/>
      <c r="G150" s="47"/>
    </row>
    <row r="151" spans="1:7" s="21" customFormat="1" ht="10.5" x14ac:dyDescent="0.35"/>
    <row r="152" spans="1:7" s="21" customFormat="1" ht="10.5" x14ac:dyDescent="0.35"/>
    <row r="153" spans="1:7" s="21" customFormat="1" ht="10.5" x14ac:dyDescent="0.35"/>
    <row r="154" spans="1:7" s="21" customFormat="1" ht="10.5" x14ac:dyDescent="0.35"/>
    <row r="155" spans="1:7" s="21" customFormat="1" ht="10.5" x14ac:dyDescent="0.35"/>
    <row r="156" spans="1:7" s="21" customFormat="1" ht="11.25" customHeight="1" x14ac:dyDescent="0.35"/>
    <row r="157" spans="1:7" s="21" customFormat="1" ht="10.5" x14ac:dyDescent="0.35"/>
    <row r="158" spans="1:7" s="21" customFormat="1" ht="10.5" x14ac:dyDescent="0.35"/>
    <row r="159" spans="1:7" s="21" customFormat="1" ht="10.5" x14ac:dyDescent="0.35"/>
    <row r="160" spans="1:7" s="21" customFormat="1" ht="10.5" x14ac:dyDescent="0.35"/>
    <row r="161" s="21" customFormat="1" ht="10.5" x14ac:dyDescent="0.35"/>
    <row r="162" s="21" customFormat="1" ht="10.5" x14ac:dyDescent="0.35"/>
    <row r="163" s="21" customFormat="1" ht="10.5" x14ac:dyDescent="0.35"/>
    <row r="164" s="21" customFormat="1" ht="10.5" x14ac:dyDescent="0.35"/>
    <row r="165" s="21" customFormat="1" ht="10.5" x14ac:dyDescent="0.35"/>
    <row r="166" s="21" customFormat="1" ht="10.5" x14ac:dyDescent="0.35"/>
    <row r="167" s="21" customFormat="1" ht="10.5" x14ac:dyDescent="0.35"/>
    <row r="168" s="21" customFormat="1" ht="10.5" x14ac:dyDescent="0.35"/>
    <row r="169" s="21" customFormat="1" ht="10.5" x14ac:dyDescent="0.35"/>
    <row r="170" s="21" customFormat="1" ht="10.5" x14ac:dyDescent="0.35"/>
    <row r="171" s="21" customFormat="1" ht="10.5" x14ac:dyDescent="0.35"/>
    <row r="172" s="21" customFormat="1" ht="10.5" x14ac:dyDescent="0.35"/>
    <row r="173" s="21" customFormat="1" ht="10.5" x14ac:dyDescent="0.35"/>
    <row r="174" s="21" customFormat="1" ht="10.5" x14ac:dyDescent="0.35"/>
    <row r="175" s="21" customFormat="1" ht="10.5" x14ac:dyDescent="0.35"/>
    <row r="176" s="21" customFormat="1" ht="10.5" x14ac:dyDescent="0.35"/>
    <row r="177" s="21" customFormat="1" ht="10.5" x14ac:dyDescent="0.35"/>
    <row r="178" s="21" customFormat="1" ht="10.5" x14ac:dyDescent="0.35"/>
    <row r="179" s="21" customFormat="1" ht="10.5" x14ac:dyDescent="0.35"/>
    <row r="180" s="21" customFormat="1" ht="10.5" x14ac:dyDescent="0.35"/>
    <row r="181" s="21" customFormat="1" ht="10.5" x14ac:dyDescent="0.35"/>
    <row r="182" s="21" customFormat="1" ht="10.5" x14ac:dyDescent="0.35"/>
    <row r="183" s="21" customFormat="1" ht="10.5" x14ac:dyDescent="0.35"/>
    <row r="184" s="21" customFormat="1" ht="10.5" x14ac:dyDescent="0.35"/>
    <row r="185" s="21" customFormat="1" ht="10.5" x14ac:dyDescent="0.35"/>
    <row r="186" s="21" customFormat="1" ht="10.5" x14ac:dyDescent="0.35"/>
    <row r="187" s="21" customFormat="1" ht="10.5" x14ac:dyDescent="0.35"/>
    <row r="188" s="21" customFormat="1" ht="10.5" x14ac:dyDescent="0.35"/>
    <row r="189" s="21" customFormat="1" ht="10.5" x14ac:dyDescent="0.35"/>
    <row r="190" s="21" customFormat="1" ht="10.5" x14ac:dyDescent="0.35"/>
    <row r="191" s="21" customFormat="1" ht="10.5" x14ac:dyDescent="0.35"/>
    <row r="192" s="21" customFormat="1" ht="10.5" x14ac:dyDescent="0.35"/>
    <row r="193" s="21" customFormat="1" ht="10.5" x14ac:dyDescent="0.35"/>
    <row r="194" s="21" customFormat="1" ht="10.5" x14ac:dyDescent="0.35"/>
    <row r="195" s="21" customFormat="1" ht="10.5" x14ac:dyDescent="0.35"/>
    <row r="196" s="21" customFormat="1" ht="10.5" x14ac:dyDescent="0.35"/>
    <row r="197" s="21" customFormat="1" ht="10.5" x14ac:dyDescent="0.35"/>
    <row r="198" s="21" customFormat="1" ht="10.5" x14ac:dyDescent="0.35"/>
    <row r="199" s="21" customFormat="1" ht="10.5" x14ac:dyDescent="0.35"/>
    <row r="200" s="21" customFormat="1" ht="10.5" x14ac:dyDescent="0.35"/>
    <row r="201" s="21" customFormat="1" ht="10.5" x14ac:dyDescent="0.35"/>
    <row r="202" s="21" customFormat="1" ht="10.5" x14ac:dyDescent="0.35"/>
    <row r="203" s="21" customFormat="1" ht="10.5" x14ac:dyDescent="0.35"/>
    <row r="204" s="21" customFormat="1" ht="10.5" x14ac:dyDescent="0.35"/>
    <row r="205" s="21" customFormat="1" ht="10.5" x14ac:dyDescent="0.35"/>
    <row r="206" s="21" customFormat="1" ht="10.5" x14ac:dyDescent="0.35"/>
    <row r="207" s="21" customFormat="1" ht="10.5" x14ac:dyDescent="0.35"/>
    <row r="208" s="21" customFormat="1" ht="10.5" x14ac:dyDescent="0.35"/>
    <row r="209" s="21" customFormat="1" ht="10.5" x14ac:dyDescent="0.35"/>
    <row r="210" s="21" customFormat="1" ht="10.5" x14ac:dyDescent="0.35"/>
    <row r="211" s="21" customFormat="1" ht="10.5" x14ac:dyDescent="0.35"/>
    <row r="212" s="21" customFormat="1" ht="10.5" x14ac:dyDescent="0.35"/>
    <row r="213" s="21" customFormat="1" ht="10.5" x14ac:dyDescent="0.35"/>
    <row r="214" s="21" customFormat="1" ht="10.5" x14ac:dyDescent="0.35"/>
    <row r="215" s="21" customFormat="1" ht="10.5" x14ac:dyDescent="0.35"/>
    <row r="216" s="21" customFormat="1" ht="10.5" x14ac:dyDescent="0.35"/>
    <row r="217" s="21" customFormat="1" ht="10.5" x14ac:dyDescent="0.35"/>
    <row r="218" s="21" customFormat="1" ht="10.5" x14ac:dyDescent="0.35"/>
    <row r="219" s="21" customFormat="1" ht="10.5" x14ac:dyDescent="0.35"/>
    <row r="220" s="21" customFormat="1" ht="10.5" x14ac:dyDescent="0.35"/>
    <row r="221" s="21" customFormat="1" ht="10.5" x14ac:dyDescent="0.35"/>
    <row r="222" s="21" customFormat="1" ht="10.5" x14ac:dyDescent="0.35"/>
    <row r="223" s="21" customFormat="1" ht="10.5" x14ac:dyDescent="0.35"/>
    <row r="224" s="21" customFormat="1" ht="10.5" x14ac:dyDescent="0.35"/>
    <row r="225" s="21" customFormat="1" ht="10.5" x14ac:dyDescent="0.35"/>
    <row r="226" s="21" customFormat="1" ht="10.5" x14ac:dyDescent="0.35"/>
    <row r="227" s="21" customFormat="1" ht="10.5" x14ac:dyDescent="0.35"/>
    <row r="228" s="21" customFormat="1" ht="10.5" x14ac:dyDescent="0.35"/>
    <row r="229" s="21" customFormat="1" ht="10.5" x14ac:dyDescent="0.35"/>
    <row r="230" s="21" customFormat="1" ht="10.5" x14ac:dyDescent="0.35"/>
    <row r="231" s="21" customFormat="1" ht="10.5" x14ac:dyDescent="0.35"/>
    <row r="232" s="21" customFormat="1" ht="10.5" x14ac:dyDescent="0.35"/>
    <row r="233" s="21" customFormat="1" ht="10.5" x14ac:dyDescent="0.35"/>
    <row r="234" s="21" customFormat="1" ht="10.5" x14ac:dyDescent="0.35"/>
    <row r="235" s="21" customFormat="1" ht="10.5" x14ac:dyDescent="0.35"/>
    <row r="236" s="21" customFormat="1" ht="10.5" x14ac:dyDescent="0.35"/>
    <row r="237" s="21" customFormat="1" ht="10.5" x14ac:dyDescent="0.35"/>
    <row r="238" s="21" customFormat="1" ht="10.5" x14ac:dyDescent="0.35"/>
    <row r="239" s="21" customFormat="1" ht="10.5" x14ac:dyDescent="0.35"/>
    <row r="240" s="21" customFormat="1" ht="10.5" x14ac:dyDescent="0.35"/>
    <row r="241" s="21" customFormat="1" ht="10.5" x14ac:dyDescent="0.35"/>
    <row r="242" s="21" customFormat="1" ht="10.5" x14ac:dyDescent="0.35"/>
    <row r="243" s="21" customFormat="1" ht="10.5" x14ac:dyDescent="0.35"/>
    <row r="244" s="21" customFormat="1" ht="10.5" x14ac:dyDescent="0.35"/>
    <row r="245" s="21" customFormat="1" ht="10.5" x14ac:dyDescent="0.35"/>
    <row r="246" s="21" customFormat="1" ht="10.5" x14ac:dyDescent="0.35"/>
    <row r="247" s="21" customFormat="1" ht="10.5" x14ac:dyDescent="0.35"/>
    <row r="248" s="21" customFormat="1" ht="10.5" x14ac:dyDescent="0.35"/>
    <row r="249" s="21" customFormat="1" ht="10.5" x14ac:dyDescent="0.35"/>
    <row r="250" s="21" customFormat="1" ht="10.5" x14ac:dyDescent="0.35"/>
    <row r="251" s="21" customFormat="1" ht="10.5" x14ac:dyDescent="0.35"/>
    <row r="252" s="21" customFormat="1" ht="10.5" x14ac:dyDescent="0.35"/>
    <row r="253" s="21" customFormat="1" ht="10.5" x14ac:dyDescent="0.35"/>
    <row r="254" s="21" customFormat="1" ht="10.5" x14ac:dyDescent="0.35"/>
    <row r="255" s="21" customFormat="1" ht="10.5" x14ac:dyDescent="0.35"/>
    <row r="256" s="21" customFormat="1" ht="10.5" x14ac:dyDescent="0.35"/>
    <row r="257" s="21" customFormat="1" ht="10.5" x14ac:dyDescent="0.35"/>
    <row r="258" s="21" customFormat="1" ht="10.5" x14ac:dyDescent="0.35"/>
    <row r="259" s="21" customFormat="1" ht="10.5" x14ac:dyDescent="0.35"/>
    <row r="260" s="21" customFormat="1" ht="10.5" x14ac:dyDescent="0.35"/>
    <row r="261" s="21" customFormat="1" ht="10.5" x14ac:dyDescent="0.35"/>
    <row r="262" s="21" customFormat="1" ht="10.5" x14ac:dyDescent="0.35"/>
    <row r="263" s="21" customFormat="1" ht="10.5" x14ac:dyDescent="0.35"/>
    <row r="264" s="21" customFormat="1" ht="10.5" x14ac:dyDescent="0.35"/>
    <row r="265" s="21" customFormat="1" ht="10.5" x14ac:dyDescent="0.35"/>
    <row r="266" s="21" customFormat="1" ht="10.5" x14ac:dyDescent="0.35"/>
    <row r="267" s="21" customFormat="1" ht="10.5" x14ac:dyDescent="0.35"/>
    <row r="268" s="21" customFormat="1" ht="10.5" x14ac:dyDescent="0.35"/>
    <row r="269" s="21" customFormat="1" ht="10.5" x14ac:dyDescent="0.35"/>
    <row r="270" s="21" customFormat="1" ht="10.5" x14ac:dyDescent="0.35"/>
    <row r="271" s="21" customFormat="1" ht="10.5" x14ac:dyDescent="0.35"/>
    <row r="272" s="21" customFormat="1" ht="10.5" x14ac:dyDescent="0.35"/>
    <row r="273" s="21" customFormat="1" ht="10.5" x14ac:dyDescent="0.35"/>
    <row r="274" s="21" customFormat="1" ht="10.5" x14ac:dyDescent="0.35"/>
    <row r="275" s="21" customFormat="1" ht="10.5" x14ac:dyDescent="0.35"/>
    <row r="276" s="21" customFormat="1" ht="10.5" x14ac:dyDescent="0.35"/>
    <row r="277" s="21" customFormat="1" ht="10.5" x14ac:dyDescent="0.35"/>
    <row r="278" s="21" customFormat="1" ht="10.5" x14ac:dyDescent="0.35"/>
    <row r="279" s="21" customFormat="1" ht="10.5" x14ac:dyDescent="0.35"/>
    <row r="280" s="21" customFormat="1" ht="10.5" x14ac:dyDescent="0.35"/>
    <row r="281" s="21" customFormat="1" ht="10.5" x14ac:dyDescent="0.35"/>
    <row r="282" s="21" customFormat="1" ht="10.5" x14ac:dyDescent="0.35"/>
    <row r="283" s="21" customFormat="1" ht="10.5" x14ac:dyDescent="0.35"/>
    <row r="284" s="21" customFormat="1" ht="10.5" x14ac:dyDescent="0.35"/>
    <row r="285" s="21" customFormat="1" ht="10.5" x14ac:dyDescent="0.35"/>
    <row r="286" s="21" customFormat="1" ht="10.5" x14ac:dyDescent="0.35"/>
    <row r="287" s="21" customFormat="1" ht="10.5" x14ac:dyDescent="0.35"/>
    <row r="288" s="21" customFormat="1" ht="10.5" x14ac:dyDescent="0.35"/>
    <row r="289" s="21" customFormat="1" ht="10.5" x14ac:dyDescent="0.35"/>
    <row r="290" s="21" customFormat="1" ht="10.5" x14ac:dyDescent="0.35"/>
    <row r="291" s="21" customFormat="1" ht="10.5" x14ac:dyDescent="0.35"/>
    <row r="292" s="21" customFormat="1" ht="10.5" x14ac:dyDescent="0.35"/>
    <row r="293" s="21" customFormat="1" ht="10.5" x14ac:dyDescent="0.35"/>
    <row r="294" s="21" customFormat="1" ht="10.5" x14ac:dyDescent="0.35"/>
    <row r="295" s="21" customFormat="1" ht="10.5" x14ac:dyDescent="0.35"/>
    <row r="296" s="21" customFormat="1" ht="10.5" x14ac:dyDescent="0.35"/>
    <row r="297" s="21" customFormat="1" ht="10.5" x14ac:dyDescent="0.35"/>
    <row r="298" s="21" customFormat="1" ht="10.5" x14ac:dyDescent="0.35"/>
    <row r="299" s="21" customFormat="1" ht="10.5" x14ac:dyDescent="0.35"/>
    <row r="300" s="21" customFormat="1" ht="10.5" x14ac:dyDescent="0.35"/>
    <row r="301" s="21" customFormat="1" ht="10.5" x14ac:dyDescent="0.35"/>
    <row r="302" s="21" customFormat="1" ht="10.5" x14ac:dyDescent="0.35"/>
    <row r="303" s="21" customFormat="1" ht="10.5" x14ac:dyDescent="0.35"/>
    <row r="304" s="21" customFormat="1" ht="10.5" x14ac:dyDescent="0.35"/>
    <row r="305" s="21" customFormat="1" ht="10.5" x14ac:dyDescent="0.35"/>
    <row r="306" s="21" customFormat="1" ht="10.5" x14ac:dyDescent="0.35"/>
    <row r="307" s="21" customFormat="1" ht="10.5" x14ac:dyDescent="0.35"/>
    <row r="308" s="21" customFormat="1" ht="10.5" x14ac:dyDescent="0.35"/>
    <row r="309" s="21" customFormat="1" ht="10.5" x14ac:dyDescent="0.35"/>
    <row r="310" s="21" customFormat="1" ht="10.5" x14ac:dyDescent="0.35"/>
    <row r="311" s="21" customFormat="1" ht="10.5" x14ac:dyDescent="0.35"/>
    <row r="312" s="21" customFormat="1" ht="10.5" x14ac:dyDescent="0.35"/>
    <row r="313" s="21" customFormat="1" ht="10.5" x14ac:dyDescent="0.35"/>
    <row r="314" s="21" customFormat="1" ht="10.5" x14ac:dyDescent="0.35"/>
    <row r="315" s="21" customFormat="1" ht="10.5" x14ac:dyDescent="0.35"/>
    <row r="316" s="21" customFormat="1" ht="10.5" x14ac:dyDescent="0.35"/>
    <row r="317" s="21" customFormat="1" ht="10.5" x14ac:dyDescent="0.35"/>
    <row r="318" s="21" customFormat="1" ht="10.5" x14ac:dyDescent="0.35"/>
    <row r="319" s="21" customFormat="1" ht="10.5" x14ac:dyDescent="0.35"/>
    <row r="320" s="21" customFormat="1" ht="10.5" x14ac:dyDescent="0.35"/>
    <row r="321" s="21" customFormat="1" ht="10.5" x14ac:dyDescent="0.35"/>
    <row r="322" s="21" customFormat="1" ht="10.5" x14ac:dyDescent="0.35"/>
    <row r="323" s="21" customFormat="1" ht="10.5" x14ac:dyDescent="0.35"/>
    <row r="324" s="21" customFormat="1" ht="10.5" x14ac:dyDescent="0.35"/>
    <row r="325" s="21" customFormat="1" ht="10.5" x14ac:dyDescent="0.35"/>
    <row r="326" s="21" customFormat="1" ht="10.5" x14ac:dyDescent="0.35"/>
    <row r="327" s="21" customFormat="1" ht="10.5" x14ac:dyDescent="0.35"/>
    <row r="328" s="21" customFormat="1" ht="10.5" x14ac:dyDescent="0.35"/>
    <row r="329" s="21" customFormat="1" ht="10.5" x14ac:dyDescent="0.35"/>
    <row r="330" s="21" customFormat="1" ht="10.5" x14ac:dyDescent="0.35"/>
    <row r="331" s="21" customFormat="1" ht="10.5" x14ac:dyDescent="0.35"/>
    <row r="332" s="21" customFormat="1" ht="10.5" x14ac:dyDescent="0.35"/>
    <row r="333" s="21" customFormat="1" ht="10.5" x14ac:dyDescent="0.35"/>
    <row r="334" s="21" customFormat="1" ht="10.5" x14ac:dyDescent="0.35"/>
    <row r="335" s="21" customFormat="1" ht="10.5" x14ac:dyDescent="0.35"/>
    <row r="336" s="21" customFormat="1" ht="10.5" x14ac:dyDescent="0.35"/>
    <row r="337" s="21" customFormat="1" ht="10.5" x14ac:dyDescent="0.35"/>
    <row r="338" s="21" customFormat="1" ht="10.5" x14ac:dyDescent="0.35"/>
    <row r="339" s="21" customFormat="1" ht="10.5" x14ac:dyDescent="0.35"/>
    <row r="340" s="21" customFormat="1" ht="10.5" x14ac:dyDescent="0.35"/>
    <row r="341" s="21" customFormat="1" ht="10.5" x14ac:dyDescent="0.35"/>
    <row r="342" s="21" customFormat="1" ht="10.5" x14ac:dyDescent="0.35"/>
    <row r="343" s="21" customFormat="1" ht="10.5" x14ac:dyDescent="0.35"/>
    <row r="344" s="21" customFormat="1" ht="10.5" x14ac:dyDescent="0.35"/>
    <row r="345" s="21" customFormat="1" ht="10.5" x14ac:dyDescent="0.35"/>
    <row r="346" s="21" customFormat="1" ht="10.5" x14ac:dyDescent="0.35"/>
    <row r="347" s="21" customFormat="1" ht="10.5" x14ac:dyDescent="0.35"/>
    <row r="348" s="21" customFormat="1" ht="10.5" x14ac:dyDescent="0.35"/>
    <row r="349" s="21" customFormat="1" ht="10.5" x14ac:dyDescent="0.35"/>
    <row r="350" s="21" customFormat="1" ht="10.5" x14ac:dyDescent="0.35"/>
    <row r="351" s="21" customFormat="1" ht="10.5" x14ac:dyDescent="0.35"/>
    <row r="352" s="21" customFormat="1" ht="10.5" x14ac:dyDescent="0.35"/>
    <row r="353" s="21" customFormat="1" ht="10.5" x14ac:dyDescent="0.35"/>
    <row r="354" s="21" customFormat="1" ht="10.5" x14ac:dyDescent="0.35"/>
    <row r="355" s="21" customFormat="1" ht="10.5" x14ac:dyDescent="0.35"/>
    <row r="356" s="21" customFormat="1" ht="10.5" x14ac:dyDescent="0.35"/>
    <row r="357" s="21" customFormat="1" ht="10.5" x14ac:dyDescent="0.35"/>
    <row r="358" s="21" customFormat="1" ht="10.5" x14ac:dyDescent="0.35"/>
    <row r="359" s="21" customFormat="1" ht="10.5" x14ac:dyDescent="0.35"/>
    <row r="360" s="21" customFormat="1" ht="10.5" x14ac:dyDescent="0.35"/>
    <row r="361" s="21" customFormat="1" ht="10.5" x14ac:dyDescent="0.35"/>
    <row r="362" s="21" customFormat="1" ht="10.5" x14ac:dyDescent="0.35"/>
    <row r="363" s="21" customFormat="1" ht="10.5" x14ac:dyDescent="0.35"/>
    <row r="364" s="21" customFormat="1" ht="10.5" x14ac:dyDescent="0.35"/>
    <row r="365" s="21" customFormat="1" ht="10.5" x14ac:dyDescent="0.35"/>
    <row r="366" s="21" customFormat="1" ht="10.5" x14ac:dyDescent="0.35"/>
    <row r="367" s="21" customFormat="1" ht="10.5" x14ac:dyDescent="0.35"/>
    <row r="368" s="21" customFormat="1" ht="10.5" x14ac:dyDescent="0.35"/>
    <row r="369" s="21" customFormat="1" ht="10.5" x14ac:dyDescent="0.35"/>
    <row r="370" s="21" customFormat="1" ht="10.5" x14ac:dyDescent="0.35"/>
    <row r="371" s="21" customFormat="1" ht="10.5" x14ac:dyDescent="0.35"/>
    <row r="372" s="21" customFormat="1" ht="10.5" x14ac:dyDescent="0.35"/>
    <row r="373" s="21" customFormat="1" ht="10.5" x14ac:dyDescent="0.35"/>
    <row r="374" s="21" customFormat="1" ht="10.5" x14ac:dyDescent="0.35"/>
    <row r="375" s="21" customFormat="1" ht="10.5" x14ac:dyDescent="0.35"/>
    <row r="376" s="21" customFormat="1" ht="10.5" x14ac:dyDescent="0.35"/>
    <row r="377" s="21" customFormat="1" ht="10.5" x14ac:dyDescent="0.35"/>
    <row r="378" s="21" customFormat="1" ht="10.5" x14ac:dyDescent="0.35"/>
    <row r="379" s="21" customFormat="1" ht="10.5" x14ac:dyDescent="0.35"/>
    <row r="380" s="21" customFormat="1" ht="10.5" x14ac:dyDescent="0.35"/>
    <row r="381" s="21" customFormat="1" ht="10.5" x14ac:dyDescent="0.35"/>
    <row r="382" s="21" customFormat="1" ht="10.5" x14ac:dyDescent="0.35"/>
    <row r="383" s="21" customFormat="1" ht="10.5" x14ac:dyDescent="0.35"/>
    <row r="384" s="21" customFormat="1" ht="10.5" x14ac:dyDescent="0.35"/>
    <row r="385" s="21" customFormat="1" ht="10.5" x14ac:dyDescent="0.35"/>
    <row r="386" s="21" customFormat="1" ht="10.5" x14ac:dyDescent="0.35"/>
    <row r="387" s="21" customFormat="1" ht="10.5" x14ac:dyDescent="0.35"/>
    <row r="388" s="21" customFormat="1" ht="10.5" x14ac:dyDescent="0.35"/>
    <row r="389" s="21" customFormat="1" ht="10.5" x14ac:dyDescent="0.35"/>
    <row r="390" s="21" customFormat="1" ht="10.5" x14ac:dyDescent="0.35"/>
    <row r="391" s="21" customFormat="1" ht="10.5" x14ac:dyDescent="0.35"/>
    <row r="392" s="21" customFormat="1" ht="10.5" x14ac:dyDescent="0.35"/>
    <row r="393" s="21" customFormat="1" ht="10.5" x14ac:dyDescent="0.35"/>
    <row r="394" s="21" customFormat="1" ht="10.5" x14ac:dyDescent="0.35"/>
    <row r="395" s="21" customFormat="1" ht="10.5" x14ac:dyDescent="0.35"/>
    <row r="396" s="21" customFormat="1" ht="10.5" x14ac:dyDescent="0.35"/>
    <row r="397" s="21" customFormat="1" ht="10.5" x14ac:dyDescent="0.35"/>
    <row r="398" s="21" customFormat="1" ht="10.5" x14ac:dyDescent="0.35"/>
    <row r="399" s="21" customFormat="1" ht="10.5" x14ac:dyDescent="0.35"/>
    <row r="400" s="21" customFormat="1" ht="10.5" x14ac:dyDescent="0.35"/>
    <row r="401" s="21" customFormat="1" ht="10.5" x14ac:dyDescent="0.35"/>
    <row r="402" s="21" customFormat="1" ht="10.5" x14ac:dyDescent="0.35"/>
    <row r="403" s="21" customFormat="1" ht="10.5" x14ac:dyDescent="0.35"/>
    <row r="404" s="21" customFormat="1" ht="10.5" x14ac:dyDescent="0.35"/>
    <row r="405" s="21" customFormat="1" ht="10.5" x14ac:dyDescent="0.35"/>
    <row r="406" s="21" customFormat="1" ht="10.5" x14ac:dyDescent="0.35"/>
    <row r="407" s="21" customFormat="1" ht="10.5" x14ac:dyDescent="0.35"/>
    <row r="408" s="21" customFormat="1" ht="10.5" x14ac:dyDescent="0.35"/>
    <row r="409" s="21" customFormat="1" ht="10.5" x14ac:dyDescent="0.35"/>
    <row r="410" s="21" customFormat="1" ht="10.5" x14ac:dyDescent="0.35"/>
    <row r="411" s="21" customFormat="1" ht="10.5" x14ac:dyDescent="0.35"/>
    <row r="412" s="21" customFormat="1" ht="10.5" x14ac:dyDescent="0.35"/>
    <row r="413" s="21" customFormat="1" ht="10.5" x14ac:dyDescent="0.35"/>
    <row r="414" s="21" customFormat="1" ht="10.5" x14ac:dyDescent="0.35"/>
    <row r="415" s="21" customFormat="1" ht="10.5" x14ac:dyDescent="0.35"/>
    <row r="416" s="21" customFormat="1" ht="10.5" x14ac:dyDescent="0.35"/>
    <row r="417" s="21" customFormat="1" ht="10.5" x14ac:dyDescent="0.35"/>
    <row r="418" s="21" customFormat="1" ht="10.5" x14ac:dyDescent="0.35"/>
    <row r="419" s="21" customFormat="1" ht="10.5" x14ac:dyDescent="0.35"/>
    <row r="420" s="21" customFormat="1" ht="10.5" x14ac:dyDescent="0.35"/>
    <row r="421" s="21" customFormat="1" ht="10.5" x14ac:dyDescent="0.35"/>
    <row r="422" s="21" customFormat="1" ht="10.5" x14ac:dyDescent="0.35"/>
    <row r="423" s="21" customFormat="1" ht="10.5" x14ac:dyDescent="0.35"/>
    <row r="424" s="21" customFormat="1" ht="10.5" x14ac:dyDescent="0.35"/>
    <row r="425" s="21" customFormat="1" ht="10.5" x14ac:dyDescent="0.35"/>
    <row r="426" s="21" customFormat="1" ht="10.5" x14ac:dyDescent="0.35"/>
    <row r="427" s="21" customFormat="1" ht="10.5" x14ac:dyDescent="0.35"/>
    <row r="428" s="21" customFormat="1" ht="10.5" x14ac:dyDescent="0.35"/>
    <row r="429" s="21" customFormat="1" ht="10.5" x14ac:dyDescent="0.35"/>
    <row r="430" s="21" customFormat="1" ht="10.5" x14ac:dyDescent="0.35"/>
    <row r="431" s="21" customFormat="1" ht="10.5" x14ac:dyDescent="0.35"/>
    <row r="432" s="21" customFormat="1" ht="10.5" x14ac:dyDescent="0.35"/>
    <row r="433" s="21" customFormat="1" ht="10.5" x14ac:dyDescent="0.35"/>
    <row r="434" s="21" customFormat="1" ht="10.5" x14ac:dyDescent="0.35"/>
    <row r="435" s="21" customFormat="1" ht="10.5" x14ac:dyDescent="0.35"/>
    <row r="436" s="21" customFormat="1" ht="10.5" x14ac:dyDescent="0.35"/>
    <row r="437" s="21" customFormat="1" ht="10.5" x14ac:dyDescent="0.35"/>
    <row r="438" s="21" customFormat="1" ht="10.5" x14ac:dyDescent="0.35"/>
    <row r="439" s="21" customFormat="1" ht="10.5" x14ac:dyDescent="0.35"/>
    <row r="440" s="21" customFormat="1" ht="10.5" x14ac:dyDescent="0.35"/>
    <row r="441" s="21" customFormat="1" ht="10.5" x14ac:dyDescent="0.35"/>
    <row r="442" s="21" customFormat="1" ht="10.5" x14ac:dyDescent="0.35"/>
    <row r="443" s="21" customFormat="1" ht="10.5" x14ac:dyDescent="0.35"/>
    <row r="444" s="21" customFormat="1" ht="10.5" x14ac:dyDescent="0.35"/>
    <row r="445" s="21" customFormat="1" ht="10.5" x14ac:dyDescent="0.35"/>
    <row r="446" s="21" customFormat="1" ht="10.5" x14ac:dyDescent="0.35"/>
    <row r="447" s="21" customFormat="1" ht="10.5" x14ac:dyDescent="0.35"/>
    <row r="448" s="21" customFormat="1" ht="10.5" x14ac:dyDescent="0.35"/>
    <row r="449" s="21" customFormat="1" ht="10.5" x14ac:dyDescent="0.35"/>
    <row r="450" s="21" customFormat="1" ht="10.5" x14ac:dyDescent="0.35"/>
    <row r="451" s="21" customFormat="1" ht="10.5" x14ac:dyDescent="0.35"/>
    <row r="452" s="21" customFormat="1" ht="10.5" x14ac:dyDescent="0.35"/>
    <row r="453" s="21" customFormat="1" ht="10.5" x14ac:dyDescent="0.35"/>
    <row r="454" s="21" customFormat="1" ht="10.5" x14ac:dyDescent="0.35"/>
    <row r="455" s="21" customFormat="1" ht="10.5" x14ac:dyDescent="0.35"/>
    <row r="456" s="21" customFormat="1" ht="10.5" x14ac:dyDescent="0.35"/>
    <row r="457" s="21" customFormat="1" ht="10.5" x14ac:dyDescent="0.35"/>
    <row r="458" s="21" customFormat="1" ht="10.5" x14ac:dyDescent="0.35"/>
    <row r="459" s="21" customFormat="1" ht="10.5" x14ac:dyDescent="0.35"/>
    <row r="460" s="21" customFormat="1" ht="10.5" x14ac:dyDescent="0.35"/>
    <row r="461" s="21" customFormat="1" ht="10.5" x14ac:dyDescent="0.35"/>
    <row r="462" s="21" customFormat="1" ht="10.5" x14ac:dyDescent="0.35"/>
    <row r="463" s="21" customFormat="1" ht="10.5" x14ac:dyDescent="0.35"/>
    <row r="464" s="21" customFormat="1" ht="10.5" x14ac:dyDescent="0.35"/>
    <row r="465" s="21" customFormat="1" ht="10.5" x14ac:dyDescent="0.35"/>
    <row r="466" s="21" customFormat="1" ht="10.5" x14ac:dyDescent="0.35"/>
    <row r="467" s="21" customFormat="1" ht="10.5" x14ac:dyDescent="0.35"/>
    <row r="468" s="21" customFormat="1" ht="10.5" x14ac:dyDescent="0.35"/>
    <row r="469" s="21" customFormat="1" ht="10.5" x14ac:dyDescent="0.35"/>
    <row r="470" s="21" customFormat="1" ht="10.5" x14ac:dyDescent="0.35"/>
    <row r="471" s="21" customFormat="1" ht="10.5" x14ac:dyDescent="0.35"/>
    <row r="472" s="21" customFormat="1" ht="10.5" x14ac:dyDescent="0.35"/>
    <row r="473" s="21" customFormat="1" ht="10.5" x14ac:dyDescent="0.35"/>
    <row r="474" s="21" customFormat="1" ht="10.5" x14ac:dyDescent="0.35"/>
    <row r="475" s="21" customFormat="1" ht="10.5" x14ac:dyDescent="0.35"/>
    <row r="476" s="21" customFormat="1" ht="10.5" x14ac:dyDescent="0.35"/>
    <row r="477" s="21" customFormat="1" ht="10.5" x14ac:dyDescent="0.35"/>
    <row r="478" s="21" customFormat="1" ht="10.5" x14ac:dyDescent="0.35"/>
    <row r="479" s="21" customFormat="1" ht="10.5" x14ac:dyDescent="0.35"/>
    <row r="480" s="21" customFormat="1" ht="10.5" x14ac:dyDescent="0.35"/>
    <row r="481" s="21" customFormat="1" ht="10.5" x14ac:dyDescent="0.35"/>
    <row r="482" s="21" customFormat="1" ht="10.5" x14ac:dyDescent="0.35"/>
    <row r="483" s="21" customFormat="1" ht="10.5" x14ac:dyDescent="0.35"/>
    <row r="484" s="21" customFormat="1" ht="10.5" x14ac:dyDescent="0.35"/>
    <row r="485" s="21" customFormat="1" ht="10.5" x14ac:dyDescent="0.35"/>
    <row r="486" s="21" customFormat="1" ht="10.5" x14ac:dyDescent="0.35"/>
    <row r="487" s="21" customFormat="1" ht="10.5" x14ac:dyDescent="0.35"/>
    <row r="488" s="21" customFormat="1" ht="10.5" x14ac:dyDescent="0.35"/>
    <row r="489" s="21" customFormat="1" ht="10.5" x14ac:dyDescent="0.35"/>
    <row r="490" s="21" customFormat="1" ht="10.5" x14ac:dyDescent="0.35"/>
    <row r="491" s="21" customFormat="1" ht="10.5" x14ac:dyDescent="0.35"/>
    <row r="492" s="21" customFormat="1" ht="10.5" x14ac:dyDescent="0.35"/>
    <row r="493" s="21" customFormat="1" ht="10.5" x14ac:dyDescent="0.35"/>
    <row r="494" s="21" customFormat="1" ht="10.5" x14ac:dyDescent="0.35"/>
    <row r="495" s="21" customFormat="1" ht="10.5" x14ac:dyDescent="0.35"/>
    <row r="496" s="21" customFormat="1" ht="10.5" x14ac:dyDescent="0.35"/>
    <row r="497" s="21" customFormat="1" ht="10.5" x14ac:dyDescent="0.35"/>
    <row r="498" s="21" customFormat="1" ht="10.5" x14ac:dyDescent="0.35"/>
    <row r="499" s="21" customFormat="1" ht="10.5" x14ac:dyDescent="0.35"/>
    <row r="500" s="21" customFormat="1" ht="10.5" x14ac:dyDescent="0.35"/>
    <row r="501" s="21" customFormat="1" ht="10.5" x14ac:dyDescent="0.35"/>
    <row r="502" s="21" customFormat="1" ht="10.5" x14ac:dyDescent="0.35"/>
    <row r="503" s="21" customFormat="1" ht="10.5" x14ac:dyDescent="0.35"/>
    <row r="504" s="21" customFormat="1" ht="10.5" x14ac:dyDescent="0.35"/>
    <row r="505" s="21" customFormat="1" ht="10.5" x14ac:dyDescent="0.35"/>
    <row r="506" s="21" customFormat="1" ht="10.5" x14ac:dyDescent="0.35"/>
    <row r="507" s="21" customFormat="1" ht="10.5" x14ac:dyDescent="0.35"/>
    <row r="508" s="21" customFormat="1" ht="10.5" x14ac:dyDescent="0.35"/>
    <row r="509" s="21" customFormat="1" ht="10.5" x14ac:dyDescent="0.35"/>
    <row r="510" s="21" customFormat="1" ht="10.5" x14ac:dyDescent="0.35"/>
    <row r="511" s="21" customFormat="1" ht="10.5" x14ac:dyDescent="0.35"/>
    <row r="512" s="21" customFormat="1" ht="10.5" x14ac:dyDescent="0.35"/>
    <row r="513" s="21" customFormat="1" ht="10.5" x14ac:dyDescent="0.35"/>
    <row r="514" s="21" customFormat="1" ht="10.5" x14ac:dyDescent="0.35"/>
    <row r="515" s="21" customFormat="1" ht="10.5" x14ac:dyDescent="0.35"/>
    <row r="516" s="21" customFormat="1" ht="10.5" x14ac:dyDescent="0.35"/>
    <row r="517" s="21" customFormat="1" ht="10.5" x14ac:dyDescent="0.35"/>
    <row r="518" s="21" customFormat="1" ht="10.5" x14ac:dyDescent="0.35"/>
    <row r="519" s="21" customFormat="1" ht="10.5" x14ac:dyDescent="0.35"/>
    <row r="520" s="21" customFormat="1" ht="10.5" x14ac:dyDescent="0.35"/>
    <row r="521" s="21" customFormat="1" ht="10.5" x14ac:dyDescent="0.35"/>
    <row r="522" s="21" customFormat="1" ht="10.5" x14ac:dyDescent="0.35"/>
    <row r="523" s="21" customFormat="1" ht="10.5" x14ac:dyDescent="0.35"/>
    <row r="524" s="21" customFormat="1" ht="10.5" x14ac:dyDescent="0.35"/>
    <row r="525" s="21" customFormat="1" ht="10.5" x14ac:dyDescent="0.35"/>
    <row r="526" s="21" customFormat="1" ht="10.5" x14ac:dyDescent="0.35"/>
    <row r="527" s="21" customFormat="1" ht="10.5" x14ac:dyDescent="0.35"/>
    <row r="528" s="21" customFormat="1" ht="10.5" x14ac:dyDescent="0.35"/>
    <row r="529" s="21" customFormat="1" ht="10.5" x14ac:dyDescent="0.35"/>
    <row r="530" s="21" customFormat="1" ht="10.5" x14ac:dyDescent="0.35"/>
    <row r="531" s="21" customFormat="1" ht="10.5" x14ac:dyDescent="0.35"/>
    <row r="532" s="21" customFormat="1" ht="10.5" x14ac:dyDescent="0.35"/>
    <row r="533" s="21" customFormat="1" ht="10.5" x14ac:dyDescent="0.35"/>
    <row r="534" s="21" customFormat="1" ht="10.5" x14ac:dyDescent="0.35"/>
    <row r="535" s="21" customFormat="1" ht="10.5" x14ac:dyDescent="0.35"/>
    <row r="536" s="21" customFormat="1" ht="10.5" x14ac:dyDescent="0.35"/>
    <row r="537" s="21" customFormat="1" ht="10.5" x14ac:dyDescent="0.35"/>
    <row r="538" s="21" customFormat="1" ht="10.5" x14ac:dyDescent="0.35"/>
    <row r="539" s="21" customFormat="1" ht="10.5" x14ac:dyDescent="0.35"/>
    <row r="540" s="21" customFormat="1" ht="10.5" x14ac:dyDescent="0.35"/>
    <row r="541" s="21" customFormat="1" ht="10.5" x14ac:dyDescent="0.35"/>
    <row r="542" s="21" customFormat="1" ht="10.5" x14ac:dyDescent="0.35"/>
    <row r="543" s="21" customFormat="1" ht="10.5" x14ac:dyDescent="0.35"/>
    <row r="544" s="21" customFormat="1" ht="10.5" x14ac:dyDescent="0.35"/>
    <row r="545" s="21" customFormat="1" ht="10.5" x14ac:dyDescent="0.35"/>
    <row r="546" s="21" customFormat="1" ht="10.5" x14ac:dyDescent="0.35"/>
    <row r="547" s="21" customFormat="1" ht="10.5" x14ac:dyDescent="0.35"/>
    <row r="548" s="21" customFormat="1" ht="10.5" x14ac:dyDescent="0.35"/>
    <row r="549" s="21" customFormat="1" ht="10.5" x14ac:dyDescent="0.35"/>
    <row r="550" s="21" customFormat="1" ht="10.5" x14ac:dyDescent="0.35"/>
    <row r="551" s="21" customFormat="1" ht="10.5" x14ac:dyDescent="0.35"/>
    <row r="552" s="21" customFormat="1" ht="10.5" x14ac:dyDescent="0.35"/>
    <row r="553" s="21" customFormat="1" ht="10.5" x14ac:dyDescent="0.35"/>
    <row r="554" s="21" customFormat="1" ht="10.5" x14ac:dyDescent="0.35"/>
    <row r="555" s="21" customFormat="1" ht="10.5" x14ac:dyDescent="0.35"/>
    <row r="556" s="21" customFormat="1" ht="10.5" x14ac:dyDescent="0.35"/>
    <row r="557" s="21" customFormat="1" ht="10.5" x14ac:dyDescent="0.35"/>
    <row r="558" s="21" customFormat="1" ht="10.5" x14ac:dyDescent="0.35"/>
    <row r="559" s="21" customFormat="1" ht="10.5" x14ac:dyDescent="0.35"/>
    <row r="560" s="21" customFormat="1" ht="10.5" x14ac:dyDescent="0.35"/>
    <row r="561" s="21" customFormat="1" ht="10.5" x14ac:dyDescent="0.35"/>
    <row r="562" s="21" customFormat="1" ht="10.5" x14ac:dyDescent="0.35"/>
    <row r="563" s="21" customFormat="1" ht="10.5" x14ac:dyDescent="0.35"/>
    <row r="564" s="21" customFormat="1" ht="10.5" x14ac:dyDescent="0.35"/>
    <row r="565" s="21" customFormat="1" ht="10.5" x14ac:dyDescent="0.35"/>
    <row r="566" s="21" customFormat="1" ht="10.5" x14ac:dyDescent="0.35"/>
    <row r="567" s="21" customFormat="1" ht="10.5" x14ac:dyDescent="0.35"/>
    <row r="568" s="21" customFormat="1" ht="10.5" x14ac:dyDescent="0.35"/>
    <row r="569" s="21" customFormat="1" ht="10.5" x14ac:dyDescent="0.35"/>
    <row r="570" s="21" customFormat="1" ht="10.5" x14ac:dyDescent="0.35"/>
    <row r="571" s="21" customFormat="1" ht="10.5" x14ac:dyDescent="0.35"/>
    <row r="572" s="21" customFormat="1" ht="10.5" x14ac:dyDescent="0.35"/>
    <row r="573" s="21" customFormat="1" ht="10.5" x14ac:dyDescent="0.35"/>
    <row r="574" s="21" customFormat="1" ht="10.5" x14ac:dyDescent="0.35"/>
    <row r="575" s="21" customFormat="1" ht="10.5" x14ac:dyDescent="0.35"/>
    <row r="576" s="21" customFormat="1" ht="10.5" x14ac:dyDescent="0.35"/>
    <row r="577" spans="1:6" s="21" customFormat="1" ht="10.5" x14ac:dyDescent="0.35"/>
    <row r="578" spans="1:6" s="21" customFormat="1" ht="10.5" x14ac:dyDescent="0.35"/>
    <row r="579" spans="1:6" s="21" customFormat="1" x14ac:dyDescent="0.35">
      <c r="A579"/>
      <c r="B579"/>
      <c r="C579"/>
      <c r="D579"/>
      <c r="E579"/>
      <c r="F579"/>
    </row>
    <row r="580" spans="1:6" s="21" customFormat="1" x14ac:dyDescent="0.35">
      <c r="A580"/>
      <c r="B580"/>
      <c r="C580"/>
      <c r="D580"/>
      <c r="E580"/>
      <c r="F580"/>
    </row>
    <row r="581" spans="1:6" s="21" customFormat="1" x14ac:dyDescent="0.35">
      <c r="A581"/>
      <c r="B581"/>
      <c r="C581"/>
      <c r="D581"/>
      <c r="E581"/>
      <c r="F581"/>
    </row>
    <row r="582" spans="1:6" s="21" customFormat="1" x14ac:dyDescent="0.35">
      <c r="A582"/>
      <c r="B582"/>
      <c r="C582"/>
      <c r="D582"/>
      <c r="E582"/>
      <c r="F582"/>
    </row>
    <row r="583" spans="1:6" s="21" customFormat="1" x14ac:dyDescent="0.35">
      <c r="A583"/>
      <c r="B583"/>
      <c r="C583"/>
      <c r="D583"/>
      <c r="E583"/>
      <c r="F583"/>
    </row>
    <row r="584" spans="1:6" s="21" customFormat="1" x14ac:dyDescent="0.35">
      <c r="A584"/>
      <c r="B584"/>
      <c r="C584"/>
      <c r="D584"/>
      <c r="E584"/>
      <c r="F584"/>
    </row>
    <row r="585" spans="1:6" s="21" customFormat="1" x14ac:dyDescent="0.35">
      <c r="A585"/>
      <c r="B585"/>
      <c r="C585"/>
      <c r="D585"/>
      <c r="E585"/>
      <c r="F585"/>
    </row>
    <row r="586" spans="1:6" s="21" customFormat="1" x14ac:dyDescent="0.35">
      <c r="A586"/>
      <c r="B586"/>
      <c r="C586"/>
      <c r="D586"/>
      <c r="E586"/>
      <c r="F586"/>
    </row>
    <row r="587" spans="1:6" s="21" customFormat="1" x14ac:dyDescent="0.35">
      <c r="A587"/>
      <c r="B587"/>
      <c r="C587"/>
      <c r="D587"/>
      <c r="E587"/>
      <c r="F587"/>
    </row>
    <row r="588" spans="1:6" s="21" customFormat="1" x14ac:dyDescent="0.35">
      <c r="A588"/>
      <c r="B588"/>
      <c r="C588"/>
      <c r="D588"/>
      <c r="E588"/>
      <c r="F588"/>
    </row>
    <row r="589" spans="1:6" s="21" customFormat="1" x14ac:dyDescent="0.35">
      <c r="A589"/>
      <c r="B589"/>
      <c r="C589"/>
      <c r="D589"/>
      <c r="E589"/>
      <c r="F589"/>
    </row>
    <row r="590" spans="1:6" s="21" customFormat="1" x14ac:dyDescent="0.35">
      <c r="A590"/>
      <c r="B590"/>
      <c r="C590"/>
      <c r="D590"/>
      <c r="E590"/>
      <c r="F590"/>
    </row>
    <row r="591" spans="1:6" s="21" customFormat="1" x14ac:dyDescent="0.35">
      <c r="A591"/>
      <c r="B591"/>
      <c r="C591"/>
      <c r="D591"/>
      <c r="E591"/>
      <c r="F591"/>
    </row>
    <row r="592" spans="1:6" s="21" customFormat="1" x14ac:dyDescent="0.35">
      <c r="A592"/>
      <c r="B592"/>
      <c r="C592"/>
      <c r="D592"/>
      <c r="E592"/>
      <c r="F592"/>
    </row>
    <row r="593" spans="1:6" s="21" customFormat="1" x14ac:dyDescent="0.35">
      <c r="A593"/>
      <c r="B593"/>
      <c r="C593"/>
      <c r="D593"/>
      <c r="E593"/>
      <c r="F593"/>
    </row>
    <row r="594" spans="1:6" s="21" customFormat="1" x14ac:dyDescent="0.35">
      <c r="A594"/>
      <c r="B594"/>
      <c r="C594"/>
      <c r="D594"/>
      <c r="E594"/>
      <c r="F594"/>
    </row>
  </sheetData>
  <sheetProtection sheet="1" objects="1" scenarios="1"/>
  <mergeCells count="165">
    <mergeCell ref="C14:F14"/>
    <mergeCell ref="C15:F15"/>
    <mergeCell ref="A15:B15"/>
    <mergeCell ref="A12:B12"/>
    <mergeCell ref="A13:B13"/>
    <mergeCell ref="A14:B14"/>
    <mergeCell ref="A9:B9"/>
    <mergeCell ref="A10:B10"/>
    <mergeCell ref="A11:B11"/>
    <mergeCell ref="A119:F119"/>
    <mergeCell ref="A82:E82"/>
    <mergeCell ref="A31:F31"/>
    <mergeCell ref="A64:F64"/>
    <mergeCell ref="A70:F70"/>
    <mergeCell ref="A43:F43"/>
    <mergeCell ref="A49:F49"/>
    <mergeCell ref="A54:F54"/>
    <mergeCell ref="A42:F42"/>
    <mergeCell ref="F33:F41"/>
    <mergeCell ref="F44:F47"/>
    <mergeCell ref="A48:F48"/>
    <mergeCell ref="A53:F53"/>
    <mergeCell ref="B39:D39"/>
    <mergeCell ref="B40:D40"/>
    <mergeCell ref="B88:E88"/>
    <mergeCell ref="F50:F52"/>
    <mergeCell ref="F55:F62"/>
    <mergeCell ref="F65:F68"/>
    <mergeCell ref="B35:D35"/>
    <mergeCell ref="B66:D66"/>
    <mergeCell ref="A32:F32"/>
    <mergeCell ref="A81:E81"/>
    <mergeCell ref="A78:F78"/>
    <mergeCell ref="A1:F1"/>
    <mergeCell ref="C9:F9"/>
    <mergeCell ref="C10:F10"/>
    <mergeCell ref="A21:F21"/>
    <mergeCell ref="A25:F25"/>
    <mergeCell ref="A28:E28"/>
    <mergeCell ref="C11:F11"/>
    <mergeCell ref="A2:B2"/>
    <mergeCell ref="A3:B3"/>
    <mergeCell ref="A4:B4"/>
    <mergeCell ref="A5:B5"/>
    <mergeCell ref="A6:B6"/>
    <mergeCell ref="A7:B7"/>
    <mergeCell ref="A27:E27"/>
    <mergeCell ref="C16:F16"/>
    <mergeCell ref="C12:F12"/>
    <mergeCell ref="C17:F17"/>
    <mergeCell ref="C18:F18"/>
    <mergeCell ref="A16:B16"/>
    <mergeCell ref="A17:B17"/>
    <mergeCell ref="D19:F19"/>
    <mergeCell ref="A8:B8"/>
    <mergeCell ref="C8:D8"/>
    <mergeCell ref="C13:F13"/>
    <mergeCell ref="A80:F80"/>
    <mergeCell ref="A100:E100"/>
    <mergeCell ref="A102:E102"/>
    <mergeCell ref="B91:E91"/>
    <mergeCell ref="C2:F2"/>
    <mergeCell ref="C3:F3"/>
    <mergeCell ref="C4:F4"/>
    <mergeCell ref="C5:F5"/>
    <mergeCell ref="C6:F6"/>
    <mergeCell ref="C7:F7"/>
    <mergeCell ref="A63:F63"/>
    <mergeCell ref="A69:F69"/>
    <mergeCell ref="B56:D56"/>
    <mergeCell ref="B57:D57"/>
    <mergeCell ref="B58:D58"/>
    <mergeCell ref="B59:D59"/>
    <mergeCell ref="B60:D60"/>
    <mergeCell ref="A68:D68"/>
    <mergeCell ref="B51:D51"/>
    <mergeCell ref="B61:D61"/>
    <mergeCell ref="A62:D62"/>
    <mergeCell ref="B65:D65"/>
    <mergeCell ref="A18:B18"/>
    <mergeCell ref="A19:B19"/>
    <mergeCell ref="A115:E115"/>
    <mergeCell ref="A117:E117"/>
    <mergeCell ref="A111:D111"/>
    <mergeCell ref="A113:E113"/>
    <mergeCell ref="A104:D104"/>
    <mergeCell ref="B105:D105"/>
    <mergeCell ref="B106:D106"/>
    <mergeCell ref="B107:D107"/>
    <mergeCell ref="B108:D108"/>
    <mergeCell ref="B109:D109"/>
    <mergeCell ref="A112:F112"/>
    <mergeCell ref="A114:F114"/>
    <mergeCell ref="A116:F116"/>
    <mergeCell ref="B110:D110"/>
    <mergeCell ref="F105:F110"/>
    <mergeCell ref="B71:D71"/>
    <mergeCell ref="B72:D72"/>
    <mergeCell ref="B73:D73"/>
    <mergeCell ref="B74:D74"/>
    <mergeCell ref="B75:D75"/>
    <mergeCell ref="B76:D76"/>
    <mergeCell ref="B67:D67"/>
    <mergeCell ref="A52:D52"/>
    <mergeCell ref="B55:D55"/>
    <mergeCell ref="A47:D47"/>
    <mergeCell ref="B50:D50"/>
    <mergeCell ref="A41:D41"/>
    <mergeCell ref="B44:D44"/>
    <mergeCell ref="A26:E26"/>
    <mergeCell ref="B33:D33"/>
    <mergeCell ref="B34:D34"/>
    <mergeCell ref="A23:B23"/>
    <mergeCell ref="B36:D36"/>
    <mergeCell ref="A30:F30"/>
    <mergeCell ref="B46:D46"/>
    <mergeCell ref="A24:F24"/>
    <mergeCell ref="F71:F77"/>
    <mergeCell ref="B37:D37"/>
    <mergeCell ref="B38:D38"/>
    <mergeCell ref="A147:F147"/>
    <mergeCell ref="A141:F141"/>
    <mergeCell ref="A142:F142"/>
    <mergeCell ref="B83:C83"/>
    <mergeCell ref="C84:C85"/>
    <mergeCell ref="A86:F86"/>
    <mergeCell ref="A140:F140"/>
    <mergeCell ref="A96:F96"/>
    <mergeCell ref="A103:F103"/>
    <mergeCell ref="A97:E97"/>
    <mergeCell ref="B98:E98"/>
    <mergeCell ref="B87:E87"/>
    <mergeCell ref="B89:E89"/>
    <mergeCell ref="A90:F90"/>
    <mergeCell ref="A77:D77"/>
    <mergeCell ref="A79:D79"/>
    <mergeCell ref="B92:C92"/>
    <mergeCell ref="B93:E93"/>
    <mergeCell ref="B94:E94"/>
    <mergeCell ref="A95:E95"/>
    <mergeCell ref="A101:F101"/>
    <mergeCell ref="B99:E99"/>
    <mergeCell ref="A22:B22"/>
    <mergeCell ref="A128:F128"/>
    <mergeCell ref="A146:F146"/>
    <mergeCell ref="A118:F118"/>
    <mergeCell ref="A127:F127"/>
    <mergeCell ref="B131:E131"/>
    <mergeCell ref="B132:E132"/>
    <mergeCell ref="B133:E133"/>
    <mergeCell ref="A134:E134"/>
    <mergeCell ref="B135:C135"/>
    <mergeCell ref="A136:E136"/>
    <mergeCell ref="B130:E130"/>
    <mergeCell ref="B129:E129"/>
    <mergeCell ref="B121:D121"/>
    <mergeCell ref="B122:D122"/>
    <mergeCell ref="B123:D123"/>
    <mergeCell ref="B125:D125"/>
    <mergeCell ref="B124:C124"/>
    <mergeCell ref="A143:F143"/>
    <mergeCell ref="A144:F144"/>
    <mergeCell ref="B120:E120"/>
    <mergeCell ref="A145:F145"/>
    <mergeCell ref="B45:D45"/>
  </mergeCells>
  <conditionalFormatting sqref="C2">
    <cfRule type="notContainsBlanks" dxfId="140" priority="138">
      <formula>LEN(TRIM(C2))&gt;0</formula>
    </cfRule>
  </conditionalFormatting>
  <conditionalFormatting sqref="C9">
    <cfRule type="cellIs" dxfId="139" priority="134" operator="greaterThan">
      <formula>0</formula>
    </cfRule>
  </conditionalFormatting>
  <conditionalFormatting sqref="E92">
    <cfRule type="cellIs" dxfId="138" priority="111" operator="greaterThan">
      <formula>0</formula>
    </cfRule>
  </conditionalFormatting>
  <conditionalFormatting sqref="E84">
    <cfRule type="cellIs" dxfId="137" priority="115" operator="greaterThan">
      <formula>0</formula>
    </cfRule>
  </conditionalFormatting>
  <conditionalFormatting sqref="F87:F88">
    <cfRule type="cellIs" dxfId="136" priority="114" operator="greaterThan">
      <formula>0</formula>
    </cfRule>
  </conditionalFormatting>
  <conditionalFormatting sqref="F89">
    <cfRule type="cellIs" dxfId="135" priority="113" operator="greaterThan">
      <formula>0</formula>
    </cfRule>
  </conditionalFormatting>
  <conditionalFormatting sqref="F91">
    <cfRule type="cellIs" dxfId="134" priority="112" operator="greaterThan">
      <formula>0</formula>
    </cfRule>
  </conditionalFormatting>
  <conditionalFormatting sqref="F93">
    <cfRule type="cellIs" dxfId="133" priority="110" operator="greaterThan">
      <formula>0</formula>
    </cfRule>
  </conditionalFormatting>
  <conditionalFormatting sqref="F94">
    <cfRule type="cellIs" dxfId="132" priority="109" operator="greaterThan">
      <formula>0</formula>
    </cfRule>
  </conditionalFormatting>
  <conditionalFormatting sqref="F99">
    <cfRule type="cellIs" dxfId="131" priority="89" operator="greaterThan">
      <formula>0</formula>
    </cfRule>
  </conditionalFormatting>
  <conditionalFormatting sqref="F98">
    <cfRule type="cellIs" dxfId="130" priority="92" operator="greaterThan">
      <formula>0</formula>
    </cfRule>
  </conditionalFormatting>
  <conditionalFormatting sqref="E50">
    <cfRule type="cellIs" dxfId="129" priority="88" operator="greaterThan">
      <formula>0</formula>
    </cfRule>
  </conditionalFormatting>
  <conditionalFormatting sqref="E73">
    <cfRule type="cellIs" dxfId="128" priority="87" operator="greaterThan">
      <formula>0</formula>
    </cfRule>
  </conditionalFormatting>
  <conditionalFormatting sqref="C17">
    <cfRule type="cellIs" dxfId="127" priority="66" operator="greaterThan">
      <formula>0</formula>
    </cfRule>
  </conditionalFormatting>
  <conditionalFormatting sqref="C18">
    <cfRule type="cellIs" dxfId="126" priority="77" operator="greaterThan">
      <formula>0</formula>
    </cfRule>
  </conditionalFormatting>
  <conditionalFormatting sqref="C12">
    <cfRule type="cellIs" dxfId="125" priority="35" operator="greaterThan">
      <formula>0</formula>
    </cfRule>
  </conditionalFormatting>
  <conditionalFormatting sqref="A23">
    <cfRule type="notContainsBlanks" dxfId="124" priority="29">
      <formula>LEN(TRIM(A23))&gt;0</formula>
    </cfRule>
  </conditionalFormatting>
  <conditionalFormatting sqref="C16">
    <cfRule type="cellIs" dxfId="123" priority="24" operator="greaterThan">
      <formula>0</formula>
    </cfRule>
  </conditionalFormatting>
  <conditionalFormatting sqref="F23">
    <cfRule type="cellIs" dxfId="122" priority="28" operator="greaterThan">
      <formula>0</formula>
    </cfRule>
  </conditionalFormatting>
  <conditionalFormatting sqref="C3:C7">
    <cfRule type="notContainsBlanks" dxfId="121" priority="27">
      <formula>LEN(TRIM(C3))&gt;0</formula>
    </cfRule>
  </conditionalFormatting>
  <conditionalFormatting sqref="C10">
    <cfRule type="cellIs" dxfId="120" priority="26" operator="greaterThan">
      <formula>0</formula>
    </cfRule>
  </conditionalFormatting>
  <conditionalFormatting sqref="C15">
    <cfRule type="cellIs" dxfId="119" priority="25" operator="greaterThan">
      <formula>0</formula>
    </cfRule>
  </conditionalFormatting>
  <conditionalFormatting sqref="F27:F28">
    <cfRule type="cellIs" dxfId="118" priority="23" operator="greaterThan">
      <formula>0</formula>
    </cfRule>
  </conditionalFormatting>
  <conditionalFormatting sqref="C2:F7 C12:F12">
    <cfRule type="notContainsBlanks" dxfId="117" priority="21">
      <formula>LEN(TRIM(C2))&gt;0</formula>
    </cfRule>
    <cfRule type="containsBlanks" dxfId="116" priority="22">
      <formula>LEN(TRIM(C2))=0</formula>
    </cfRule>
  </conditionalFormatting>
  <conditionalFormatting sqref="C9:F10 C15:F16">
    <cfRule type="cellIs" dxfId="115" priority="19" operator="greaterThan">
      <formula>0</formula>
    </cfRule>
    <cfRule type="cellIs" dxfId="114" priority="20" operator="equal">
      <formula>0</formula>
    </cfRule>
  </conditionalFormatting>
  <conditionalFormatting sqref="F23 F27:F28 E50 E73 E84 F87:F89 F91 E92 F93:F94 F98:F99">
    <cfRule type="cellIs" dxfId="113" priority="18" operator="equal">
      <formula>0</formula>
    </cfRule>
  </conditionalFormatting>
  <conditionalFormatting sqref="A23">
    <cfRule type="containsBlanks" dxfId="112" priority="17">
      <formula>LEN(TRIM(A23))=0</formula>
    </cfRule>
  </conditionalFormatting>
  <conditionalFormatting sqref="F23:G23 F27:F28 E50 E73 E84 F87:F89 F91 E92 F93:F94 F98:F99">
    <cfRule type="cellIs" dxfId="111" priority="16" operator="greaterThan">
      <formula>0</formula>
    </cfRule>
  </conditionalFormatting>
  <conditionalFormatting sqref="C8">
    <cfRule type="cellIs" dxfId="110" priority="15" operator="greaterThan">
      <formula>0</formula>
    </cfRule>
  </conditionalFormatting>
  <conditionalFormatting sqref="C19">
    <cfRule type="cellIs" dxfId="109" priority="11" operator="greaterThan">
      <formula>0</formula>
    </cfRule>
  </conditionalFormatting>
  <conditionalFormatting sqref="C19">
    <cfRule type="cellIs" dxfId="108" priority="13" operator="greaterThan">
      <formula>0</formula>
    </cfRule>
  </conditionalFormatting>
  <conditionalFormatting sqref="C19">
    <cfRule type="cellIs" dxfId="107" priority="12" operator="equal">
      <formula>0</formula>
    </cfRule>
  </conditionalFormatting>
  <conditionalFormatting sqref="C13:C14">
    <cfRule type="cellIs" dxfId="106" priority="10" operator="greaterThan">
      <formula>0</formula>
    </cfRule>
  </conditionalFormatting>
  <conditionalFormatting sqref="C13:F14">
    <cfRule type="cellIs" dxfId="105" priority="8" operator="greaterThan">
      <formula>0</formula>
    </cfRule>
    <cfRule type="cellIs" dxfId="104" priority="9" operator="equal">
      <formula>0</formula>
    </cfRule>
  </conditionalFormatting>
  <conditionalFormatting sqref="C11">
    <cfRule type="cellIs" dxfId="103" priority="7" operator="greaterThan">
      <formula>0</formula>
    </cfRule>
  </conditionalFormatting>
  <conditionalFormatting sqref="C11:F11">
    <cfRule type="cellIs" dxfId="102" priority="5" operator="greaterThan">
      <formula>0</formula>
    </cfRule>
    <cfRule type="cellIs" dxfId="101" priority="6" operator="equal">
      <formula>0</formula>
    </cfRule>
  </conditionalFormatting>
  <conditionalFormatting sqref="D84">
    <cfRule type="cellIs" dxfId="100" priority="4" operator="greaterThan">
      <formula>0</formula>
    </cfRule>
  </conditionalFormatting>
  <conditionalFormatting sqref="D85">
    <cfRule type="cellIs" dxfId="99" priority="3" operator="greaterThan">
      <formula>0</formula>
    </cfRule>
  </conditionalFormatting>
  <conditionalFormatting sqref="D84:D85">
    <cfRule type="cellIs" dxfId="98" priority="2" operator="equal">
      <formula>0</formula>
    </cfRule>
  </conditionalFormatting>
  <conditionalFormatting sqref="D84:D85">
    <cfRule type="cellIs" dxfId="97" priority="1" operator="greaterThan">
      <formula>0</formula>
    </cfRule>
  </conditionalFormatting>
  <dataValidations count="2">
    <dataValidation type="decimal" operator="greaterThanOrEqual" allowBlank="1" showInputMessage="1" showErrorMessage="1" sqref="D10:D11 D19 E11:F11 C9:C11 D14:F16 F87:F89 F91 D84:D85 E84 F93:F94 E92 E124 E73 C13:C19" xr:uid="{00000000-0002-0000-0000-000000000000}">
      <formula1>0</formula1>
    </dataValidation>
    <dataValidation type="list" showInputMessage="1" showErrorMessage="1" sqref="C12" xr:uid="{00000000-0002-0000-0000-000001000000}">
      <formula1>$H$2:$H$4</formula1>
    </dataValidation>
  </dataValidations>
  <pageMargins left="1.2204724409448819" right="0.43307086614173229" top="0.78740157480314965" bottom="0.31496062992125984" header="0.31496062992125984" footer="0.31496062992125984"/>
  <pageSetup paperSize="9" scale="67" orientation="portrait" verticalDpi="599" r:id="rId1"/>
  <headerFooter>
    <oddHeader xml:space="preserve">&amp;C&amp;"-,Negrito"&amp;12PLANILHA DE COMPOSIÇÃO DE CUSTOS DE MÃO DE OBRA
</oddHeader>
    <oddFooter>&amp;R&amp;9&amp;P/&amp;N</oddFooter>
  </headerFooter>
  <rowBreaks count="2" manualBreakCount="2">
    <brk id="53" max="5" man="1"/>
    <brk id="117" max="5" man="1"/>
  </rowBreaks>
  <drawing r:id="rId2"/>
  <legacyDrawing r:id="rId3"/>
  <oleObjects>
    <mc:AlternateContent xmlns:mc="http://schemas.openxmlformats.org/markup-compatibility/2006">
      <mc:Choice Requires="x14">
        <oleObject progId="Equation.3" shapeId="1049" r:id="rId4">
          <objectPr defaultSize="0" autoPict="0" r:id="rId5">
            <anchor moveWithCells="1" sizeWithCells="1">
              <from>
                <xdr:col>2</xdr:col>
                <xdr:colOff>831850</xdr:colOff>
                <xdr:row>146</xdr:row>
                <xdr:rowOff>114300</xdr:rowOff>
              </from>
              <to>
                <xdr:col>3</xdr:col>
                <xdr:colOff>781050</xdr:colOff>
                <xdr:row>146</xdr:row>
                <xdr:rowOff>438150</xdr:rowOff>
              </to>
            </anchor>
          </objectPr>
        </oleObject>
      </mc:Choice>
      <mc:Fallback>
        <oleObject progId="Equation.3" shapeId="1049" r:id="rId4"/>
      </mc:Fallback>
    </mc:AlternateContent>
    <mc:AlternateContent xmlns:mc="http://schemas.openxmlformats.org/markup-compatibility/2006">
      <mc:Choice Requires="x14">
        <oleObject progId="Equation.3" shapeId="1050" r:id="rId6">
          <objectPr defaultSize="0" autoPict="0" r:id="rId7">
            <anchor moveWithCells="1" sizeWithCells="1">
              <from>
                <xdr:col>2</xdr:col>
                <xdr:colOff>850900</xdr:colOff>
                <xdr:row>145</xdr:row>
                <xdr:rowOff>133350</xdr:rowOff>
              </from>
              <to>
                <xdr:col>3</xdr:col>
                <xdr:colOff>755650</xdr:colOff>
                <xdr:row>145</xdr:row>
                <xdr:rowOff>450850</xdr:rowOff>
              </to>
            </anchor>
          </objectPr>
        </oleObject>
      </mc:Choice>
      <mc:Fallback>
        <oleObject progId="Equation.3" shapeId="105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J594"/>
  <sheetViews>
    <sheetView zoomScaleNormal="100" workbookViewId="0">
      <selection activeCell="C11" sqref="C11:F11"/>
    </sheetView>
  </sheetViews>
  <sheetFormatPr defaultColWidth="9.1796875" defaultRowHeight="14.5" x14ac:dyDescent="0.35"/>
  <cols>
    <col min="1" max="1" width="3.81640625" style="59" customWidth="1"/>
    <col min="2" max="2" width="44.453125" style="59" customWidth="1"/>
    <col min="3" max="3" width="31.453125" style="59" customWidth="1"/>
    <col min="4" max="4" width="14.54296875" style="59" bestFit="1" customWidth="1"/>
    <col min="5" max="6" width="11.1796875" style="59" customWidth="1"/>
    <col min="7" max="7" width="13.7265625" style="68" customWidth="1"/>
    <col min="8" max="8" width="32" style="68" hidden="1" customWidth="1"/>
    <col min="9" max="65" width="9.1796875" style="68"/>
    <col min="66" max="16384" width="9.1796875" style="59"/>
  </cols>
  <sheetData>
    <row r="1" spans="1:244" s="23" customFormat="1" ht="15" customHeight="1" x14ac:dyDescent="0.35">
      <c r="A1" s="150" t="s">
        <v>0</v>
      </c>
      <c r="B1" s="150"/>
      <c r="C1" s="150"/>
      <c r="D1" s="150"/>
      <c r="E1" s="150"/>
      <c r="F1" s="150"/>
      <c r="G1" s="68"/>
      <c r="H1" s="68" t="s">
        <v>80</v>
      </c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22"/>
      <c r="BO1" s="22"/>
      <c r="BP1" s="22"/>
      <c r="BQ1" s="22"/>
      <c r="BR1" s="22"/>
    </row>
    <row r="2" spans="1:244" s="23" customFormat="1" ht="13.5" customHeight="1" x14ac:dyDescent="0.35">
      <c r="A2" s="149" t="s">
        <v>1</v>
      </c>
      <c r="B2" s="149"/>
      <c r="C2" s="146" t="s">
        <v>153</v>
      </c>
      <c r="D2" s="146"/>
      <c r="E2" s="146"/>
      <c r="F2" s="146"/>
      <c r="G2" s="68"/>
      <c r="H2" s="68" t="s">
        <v>73</v>
      </c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22"/>
      <c r="BO2" s="22"/>
      <c r="BP2" s="22"/>
      <c r="BQ2" s="22"/>
      <c r="BR2" s="22"/>
    </row>
    <row r="3" spans="1:244" s="23" customFormat="1" ht="13.5" customHeight="1" x14ac:dyDescent="0.35">
      <c r="A3" s="149" t="s">
        <v>2</v>
      </c>
      <c r="B3" s="149"/>
      <c r="C3" s="146" t="s">
        <v>154</v>
      </c>
      <c r="D3" s="146"/>
      <c r="E3" s="146"/>
      <c r="F3" s="146"/>
      <c r="G3" s="68"/>
      <c r="H3" s="68" t="s">
        <v>81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22"/>
      <c r="BO3" s="22"/>
      <c r="BP3" s="22"/>
      <c r="BQ3" s="22"/>
      <c r="BR3" s="22"/>
    </row>
    <row r="4" spans="1:244" s="23" customFormat="1" ht="13.5" customHeight="1" x14ac:dyDescent="0.35">
      <c r="A4" s="149" t="s">
        <v>69</v>
      </c>
      <c r="B4" s="149"/>
      <c r="C4" s="146" t="s">
        <v>155</v>
      </c>
      <c r="D4" s="146"/>
      <c r="E4" s="146"/>
      <c r="F4" s="146"/>
      <c r="G4" s="68"/>
      <c r="H4" s="68" t="s">
        <v>82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22"/>
      <c r="BO4" s="22"/>
      <c r="BP4" s="22"/>
      <c r="BQ4" s="22"/>
      <c r="BR4" s="22"/>
    </row>
    <row r="5" spans="1:244" s="23" customFormat="1" ht="13.5" customHeight="1" x14ac:dyDescent="0.35">
      <c r="A5" s="149" t="s">
        <v>70</v>
      </c>
      <c r="B5" s="149"/>
      <c r="C5" s="146" t="s">
        <v>156</v>
      </c>
      <c r="D5" s="146"/>
      <c r="E5" s="146"/>
      <c r="F5" s="146"/>
      <c r="G5" s="68"/>
      <c r="H5" s="29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22"/>
      <c r="BO5" s="22"/>
      <c r="BP5" s="22"/>
      <c r="BQ5" s="22"/>
      <c r="BR5" s="22"/>
    </row>
    <row r="6" spans="1:244" s="23" customFormat="1" ht="13.5" customHeight="1" x14ac:dyDescent="0.35">
      <c r="A6" s="149" t="s">
        <v>71</v>
      </c>
      <c r="B6" s="149"/>
      <c r="C6" s="146" t="s">
        <v>157</v>
      </c>
      <c r="D6" s="146"/>
      <c r="E6" s="146"/>
      <c r="F6" s="146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22"/>
      <c r="BO6" s="22"/>
      <c r="BP6" s="22"/>
      <c r="BQ6" s="22"/>
      <c r="BR6" s="22"/>
    </row>
    <row r="7" spans="1:244" s="23" customFormat="1" ht="13.5" customHeight="1" x14ac:dyDescent="0.35">
      <c r="A7" s="149" t="s">
        <v>72</v>
      </c>
      <c r="B7" s="149"/>
      <c r="C7" s="146" t="s">
        <v>158</v>
      </c>
      <c r="D7" s="146"/>
      <c r="E7" s="146"/>
      <c r="F7" s="146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22"/>
      <c r="BO7" s="22"/>
      <c r="BP7" s="22"/>
      <c r="BQ7" s="22"/>
      <c r="BR7" s="22"/>
    </row>
    <row r="8" spans="1:244" s="77" customFormat="1" ht="13.5" customHeight="1" x14ac:dyDescent="0.25">
      <c r="A8" s="167" t="s">
        <v>135</v>
      </c>
      <c r="B8" s="167"/>
      <c r="C8" s="168" t="s">
        <v>152</v>
      </c>
      <c r="D8" s="169"/>
      <c r="E8" s="74" t="s">
        <v>136</v>
      </c>
      <c r="F8" s="78">
        <v>43588</v>
      </c>
      <c r="H8" s="75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</row>
    <row r="9" spans="1:244" s="23" customFormat="1" ht="13.5" customHeight="1" x14ac:dyDescent="0.35">
      <c r="A9" s="149" t="s">
        <v>4</v>
      </c>
      <c r="B9" s="149"/>
      <c r="C9" s="151">
        <v>0.01</v>
      </c>
      <c r="D9" s="151"/>
      <c r="E9" s="151"/>
      <c r="F9" s="151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22"/>
      <c r="BO9" s="22"/>
      <c r="BP9" s="22"/>
      <c r="BQ9" s="22"/>
      <c r="BR9" s="22"/>
    </row>
    <row r="10" spans="1:244" s="23" customFormat="1" ht="13.5" customHeight="1" x14ac:dyDescent="0.35">
      <c r="A10" s="149" t="s">
        <v>106</v>
      </c>
      <c r="B10" s="149"/>
      <c r="C10" s="151">
        <v>0.04</v>
      </c>
      <c r="D10" s="151"/>
      <c r="E10" s="151"/>
      <c r="F10" s="151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22"/>
      <c r="BO10" s="22"/>
      <c r="BP10" s="22"/>
      <c r="BQ10" s="22"/>
      <c r="BR10" s="22"/>
    </row>
    <row r="11" spans="1:244" s="23" customFormat="1" ht="13.5" customHeight="1" x14ac:dyDescent="0.35">
      <c r="A11" s="149" t="s">
        <v>63</v>
      </c>
      <c r="B11" s="149"/>
      <c r="C11" s="151">
        <v>0.11749999999999999</v>
      </c>
      <c r="D11" s="151"/>
      <c r="E11" s="151"/>
      <c r="F11" s="151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22"/>
      <c r="BO11" s="22"/>
      <c r="BP11" s="22"/>
      <c r="BQ11" s="22"/>
      <c r="BR11" s="22"/>
    </row>
    <row r="12" spans="1:244" s="23" customFormat="1" ht="13.5" customHeight="1" x14ac:dyDescent="0.35">
      <c r="A12" s="149" t="s">
        <v>3</v>
      </c>
      <c r="B12" s="149"/>
      <c r="C12" s="155" t="s">
        <v>81</v>
      </c>
      <c r="D12" s="156"/>
      <c r="E12" s="156"/>
      <c r="F12" s="157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22"/>
      <c r="BO12" s="22"/>
      <c r="BP12" s="22"/>
      <c r="BQ12" s="22"/>
      <c r="BR12" s="22"/>
    </row>
    <row r="13" spans="1:244" s="23" customFormat="1" ht="13.5" customHeight="1" x14ac:dyDescent="0.35">
      <c r="A13" s="149" t="s">
        <v>65</v>
      </c>
      <c r="B13" s="149"/>
      <c r="C13" s="151">
        <v>7.5999999999999998E-2</v>
      </c>
      <c r="D13" s="151"/>
      <c r="E13" s="151"/>
      <c r="F13" s="151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22"/>
      <c r="BO13" s="22"/>
      <c r="BP13" s="22"/>
      <c r="BQ13" s="22"/>
      <c r="BR13" s="22"/>
    </row>
    <row r="14" spans="1:244" s="23" customFormat="1" ht="13.5" customHeight="1" x14ac:dyDescent="0.35">
      <c r="A14" s="149" t="s">
        <v>64</v>
      </c>
      <c r="B14" s="149"/>
      <c r="C14" s="151">
        <v>1.6500000000000001E-2</v>
      </c>
      <c r="D14" s="151"/>
      <c r="E14" s="151"/>
      <c r="F14" s="151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22"/>
      <c r="BO14" s="22"/>
      <c r="BP14" s="22"/>
      <c r="BQ14" s="22"/>
      <c r="BR14" s="22"/>
    </row>
    <row r="15" spans="1:244" s="23" customFormat="1" ht="13.5" customHeight="1" x14ac:dyDescent="0.35">
      <c r="A15" s="149" t="s">
        <v>5</v>
      </c>
      <c r="B15" s="149"/>
      <c r="C15" s="151">
        <v>0.05</v>
      </c>
      <c r="D15" s="151"/>
      <c r="E15" s="151"/>
      <c r="F15" s="151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22"/>
      <c r="BO15" s="22"/>
      <c r="BP15" s="22"/>
      <c r="BQ15" s="22"/>
      <c r="BR15" s="22"/>
    </row>
    <row r="16" spans="1:244" s="23" customFormat="1" ht="13.5" customHeight="1" x14ac:dyDescent="0.35">
      <c r="A16" s="149" t="s">
        <v>79</v>
      </c>
      <c r="B16" s="149"/>
      <c r="C16" s="151">
        <v>0</v>
      </c>
      <c r="D16" s="151"/>
      <c r="E16" s="151"/>
      <c r="F16" s="151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24"/>
      <c r="BO16" s="24"/>
      <c r="BP16" s="24"/>
      <c r="BQ16" s="24"/>
      <c r="BR16" s="24"/>
    </row>
    <row r="17" spans="1:70" ht="13.5" customHeight="1" x14ac:dyDescent="0.35">
      <c r="A17" s="149" t="s">
        <v>7</v>
      </c>
      <c r="B17" s="149"/>
      <c r="C17" s="158">
        <f>$E$111</f>
        <v>0.3553</v>
      </c>
      <c r="D17" s="159"/>
      <c r="E17" s="159"/>
      <c r="F17" s="160"/>
    </row>
    <row r="18" spans="1:70" s="23" customFormat="1" ht="13.5" customHeight="1" x14ac:dyDescent="0.35">
      <c r="A18" s="149" t="s">
        <v>6</v>
      </c>
      <c r="B18" s="149"/>
      <c r="C18" s="161">
        <v>22</v>
      </c>
      <c r="D18" s="162"/>
      <c r="E18" s="162"/>
      <c r="F18" s="163"/>
      <c r="G18" s="68"/>
      <c r="H18" s="68"/>
      <c r="I18" s="68"/>
      <c r="J18" s="31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22"/>
      <c r="BO18" s="22"/>
      <c r="BP18" s="22"/>
      <c r="BQ18" s="22"/>
      <c r="BR18" s="22"/>
    </row>
    <row r="19" spans="1:70" s="23" customFormat="1" ht="13.5" customHeight="1" x14ac:dyDescent="0.35">
      <c r="A19" s="149" t="s">
        <v>74</v>
      </c>
      <c r="B19" s="149"/>
      <c r="C19" s="82">
        <v>24</v>
      </c>
      <c r="D19" s="164" t="s">
        <v>75</v>
      </c>
      <c r="E19" s="165"/>
      <c r="F19" s="166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22"/>
      <c r="BO19" s="22"/>
      <c r="BP19" s="22"/>
      <c r="BQ19" s="22"/>
      <c r="BR19" s="22"/>
    </row>
    <row r="20" spans="1:70" ht="9" customHeight="1" x14ac:dyDescent="0.35">
      <c r="A20" s="29"/>
      <c r="B20" s="29"/>
      <c r="C20" s="29"/>
      <c r="D20" s="29"/>
      <c r="E20" s="29"/>
      <c r="F20" s="29"/>
    </row>
    <row r="21" spans="1:70" x14ac:dyDescent="0.35">
      <c r="A21" s="152" t="s">
        <v>109</v>
      </c>
      <c r="B21" s="153"/>
      <c r="C21" s="153"/>
      <c r="D21" s="153"/>
      <c r="E21" s="153"/>
      <c r="F21" s="154"/>
    </row>
    <row r="22" spans="1:70" x14ac:dyDescent="0.35">
      <c r="A22" s="90" t="s">
        <v>110</v>
      </c>
      <c r="B22" s="91"/>
      <c r="C22" s="81" t="s">
        <v>141</v>
      </c>
      <c r="D22" s="79" t="s">
        <v>111</v>
      </c>
      <c r="E22" s="79" t="s">
        <v>112</v>
      </c>
      <c r="F22" s="79" t="s">
        <v>8</v>
      </c>
      <c r="BL22" s="59"/>
      <c r="BM22" s="59"/>
    </row>
    <row r="23" spans="1:70" x14ac:dyDescent="0.35">
      <c r="A23" s="135" t="s">
        <v>151</v>
      </c>
      <c r="B23" s="136"/>
      <c r="C23" s="45" t="s">
        <v>146</v>
      </c>
      <c r="D23" s="45" t="s">
        <v>53</v>
      </c>
      <c r="E23" s="2" t="s">
        <v>116</v>
      </c>
      <c r="F23" s="27">
        <v>2</v>
      </c>
      <c r="BL23" s="59"/>
      <c r="BM23" s="59"/>
    </row>
    <row r="24" spans="1:70" ht="7.5" customHeight="1" x14ac:dyDescent="0.35">
      <c r="A24" s="95"/>
      <c r="B24" s="95"/>
      <c r="C24" s="95"/>
      <c r="D24" s="95"/>
      <c r="E24" s="95"/>
      <c r="F24" s="96"/>
    </row>
    <row r="25" spans="1:70" x14ac:dyDescent="0.35">
      <c r="A25" s="152" t="s">
        <v>9</v>
      </c>
      <c r="B25" s="153"/>
      <c r="C25" s="153"/>
      <c r="D25" s="153"/>
      <c r="E25" s="153"/>
      <c r="F25" s="154"/>
      <c r="BL25" s="59"/>
      <c r="BM25" s="59"/>
    </row>
    <row r="26" spans="1:70" x14ac:dyDescent="0.35">
      <c r="A26" s="106" t="s">
        <v>113</v>
      </c>
      <c r="B26" s="107"/>
      <c r="C26" s="107"/>
      <c r="D26" s="107"/>
      <c r="E26" s="108"/>
      <c r="F26" s="79" t="s">
        <v>10</v>
      </c>
      <c r="G26" s="31"/>
      <c r="BL26" s="59"/>
      <c r="BM26" s="59"/>
    </row>
    <row r="27" spans="1:70" x14ac:dyDescent="0.35">
      <c r="A27" s="97" t="s">
        <v>114</v>
      </c>
      <c r="B27" s="98"/>
      <c r="C27" s="98"/>
      <c r="D27" s="98"/>
      <c r="E27" s="99"/>
      <c r="F27" s="63">
        <v>1513</v>
      </c>
      <c r="G27" s="31"/>
      <c r="BL27" s="59"/>
      <c r="BM27" s="59"/>
    </row>
    <row r="28" spans="1:70" x14ac:dyDescent="0.35">
      <c r="A28" s="97" t="s">
        <v>11</v>
      </c>
      <c r="B28" s="98"/>
      <c r="C28" s="98"/>
      <c r="D28" s="98"/>
      <c r="E28" s="99"/>
      <c r="F28" s="63">
        <v>0</v>
      </c>
      <c r="G28" s="31"/>
      <c r="BL28" s="59"/>
      <c r="BM28" s="59"/>
    </row>
    <row r="29" spans="1:70" x14ac:dyDescent="0.35">
      <c r="A29" s="42" t="s">
        <v>115</v>
      </c>
      <c r="B29" s="43"/>
      <c r="C29" s="43"/>
      <c r="D29" s="43"/>
      <c r="E29" s="44"/>
      <c r="F29" s="52">
        <f>SUM(F27:F28)</f>
        <v>1513</v>
      </c>
      <c r="G29" s="31"/>
      <c r="BL29" s="59"/>
      <c r="BM29" s="59"/>
    </row>
    <row r="30" spans="1:70" ht="7.5" customHeight="1" x14ac:dyDescent="0.35">
      <c r="A30" s="95"/>
      <c r="B30" s="95"/>
      <c r="C30" s="95"/>
      <c r="D30" s="95"/>
      <c r="E30" s="95"/>
      <c r="F30" s="96"/>
    </row>
    <row r="31" spans="1:70" x14ac:dyDescent="0.35">
      <c r="A31" s="92" t="s">
        <v>12</v>
      </c>
      <c r="B31" s="92"/>
      <c r="C31" s="92"/>
      <c r="D31" s="92"/>
      <c r="E31" s="92"/>
      <c r="F31" s="92"/>
      <c r="I31" s="31"/>
    </row>
    <row r="32" spans="1:70" x14ac:dyDescent="0.35">
      <c r="A32" s="174" t="s">
        <v>13</v>
      </c>
      <c r="B32" s="174"/>
      <c r="C32" s="174"/>
      <c r="D32" s="174"/>
      <c r="E32" s="174"/>
      <c r="F32" s="174"/>
      <c r="I32" s="31"/>
    </row>
    <row r="33" spans="1:7" ht="15" customHeight="1" x14ac:dyDescent="0.35">
      <c r="A33" s="61">
        <v>1</v>
      </c>
      <c r="B33" s="111" t="s">
        <v>14</v>
      </c>
      <c r="C33" s="111"/>
      <c r="D33" s="111"/>
      <c r="E33" s="6">
        <f>IF(C16&gt;0,0,20%)</f>
        <v>0.2</v>
      </c>
      <c r="F33" s="173"/>
      <c r="G33" s="30"/>
    </row>
    <row r="34" spans="1:7" ht="15" customHeight="1" x14ac:dyDescent="0.35">
      <c r="A34" s="61">
        <v>2</v>
      </c>
      <c r="B34" s="111" t="s">
        <v>15</v>
      </c>
      <c r="C34" s="111"/>
      <c r="D34" s="111"/>
      <c r="E34" s="6">
        <f>IF($C$12&lt;&gt;"Simples Nacional",1.5%,IF($C$12="Simples Nacional",0,"Informar regime tributário"))</f>
        <v>1.4999999999999999E-2</v>
      </c>
      <c r="F34" s="173"/>
      <c r="G34" s="30"/>
    </row>
    <row r="35" spans="1:7" ht="15" customHeight="1" x14ac:dyDescent="0.35">
      <c r="A35" s="61">
        <v>3</v>
      </c>
      <c r="B35" s="111" t="s">
        <v>16</v>
      </c>
      <c r="C35" s="111"/>
      <c r="D35" s="111"/>
      <c r="E35" s="6">
        <f>IF($C$12&lt;&gt;"Simples Nacional",1%,IF($C$12="Simples Nacional",0,"Informar regime tributário"))</f>
        <v>0.01</v>
      </c>
      <c r="F35" s="173"/>
      <c r="G35" s="30"/>
    </row>
    <row r="36" spans="1:7" ht="15" customHeight="1" x14ac:dyDescent="0.35">
      <c r="A36" s="61">
        <v>4</v>
      </c>
      <c r="B36" s="111" t="s">
        <v>17</v>
      </c>
      <c r="C36" s="111"/>
      <c r="D36" s="111"/>
      <c r="E36" s="6">
        <f>IF($C$12&lt;&gt;"Simples Nacional",0.2%,IF($C$12="Simples Nacional",0,"Informar regime tributário"))</f>
        <v>2E-3</v>
      </c>
      <c r="F36" s="173"/>
      <c r="G36" s="30"/>
    </row>
    <row r="37" spans="1:7" ht="15" customHeight="1" x14ac:dyDescent="0.35">
      <c r="A37" s="61">
        <v>5</v>
      </c>
      <c r="B37" s="111" t="s">
        <v>18</v>
      </c>
      <c r="C37" s="111"/>
      <c r="D37" s="111"/>
      <c r="E37" s="6">
        <f>IF($C$12&lt;&gt;"Simples Nacional",2.5%,IF($C$12="Simples Nacional",0,"Informar regime tributário"))</f>
        <v>2.5000000000000001E-2</v>
      </c>
      <c r="F37" s="173"/>
      <c r="G37" s="30"/>
    </row>
    <row r="38" spans="1:7" ht="15" customHeight="1" x14ac:dyDescent="0.35">
      <c r="A38" s="61">
        <v>6</v>
      </c>
      <c r="B38" s="111" t="s">
        <v>19</v>
      </c>
      <c r="C38" s="111"/>
      <c r="D38" s="111"/>
      <c r="E38" s="6">
        <v>0.08</v>
      </c>
      <c r="F38" s="173"/>
      <c r="G38" s="30"/>
    </row>
    <row r="39" spans="1:7" ht="15" customHeight="1" x14ac:dyDescent="0.35">
      <c r="A39" s="61">
        <v>7</v>
      </c>
      <c r="B39" s="111" t="s">
        <v>20</v>
      </c>
      <c r="C39" s="111"/>
      <c r="D39" s="111"/>
      <c r="E39" s="6">
        <f>IF(C9=0,"Informar SAT",$C$9)</f>
        <v>0.01</v>
      </c>
      <c r="F39" s="173"/>
      <c r="G39" s="30"/>
    </row>
    <row r="40" spans="1:7" ht="15" customHeight="1" x14ac:dyDescent="0.35">
      <c r="A40" s="61">
        <v>8</v>
      </c>
      <c r="B40" s="111" t="s">
        <v>21</v>
      </c>
      <c r="C40" s="111"/>
      <c r="D40" s="111"/>
      <c r="E40" s="6">
        <f>IF($C$12&lt;&gt;"Simples Nacional",0.6%,IF($C$12="Simples Nacional",0,"Informar regime tributário"))</f>
        <v>6.0000000000000001E-3</v>
      </c>
      <c r="F40" s="173"/>
      <c r="G40" s="30"/>
    </row>
    <row r="41" spans="1:7" x14ac:dyDescent="0.35">
      <c r="A41" s="131" t="s">
        <v>90</v>
      </c>
      <c r="B41" s="131"/>
      <c r="C41" s="131"/>
      <c r="D41" s="131"/>
      <c r="E41" s="7">
        <f>SUM(E33:E40)</f>
        <v>0.34800000000000009</v>
      </c>
      <c r="F41" s="173"/>
      <c r="G41" s="31"/>
    </row>
    <row r="42" spans="1:7" ht="7.5" customHeight="1" x14ac:dyDescent="0.35">
      <c r="A42" s="95"/>
      <c r="B42" s="95"/>
      <c r="C42" s="95"/>
      <c r="D42" s="95"/>
      <c r="E42" s="95"/>
      <c r="F42" s="96"/>
    </row>
    <row r="43" spans="1:7" x14ac:dyDescent="0.35">
      <c r="A43" s="128" t="s">
        <v>22</v>
      </c>
      <c r="B43" s="129"/>
      <c r="C43" s="129"/>
      <c r="D43" s="129"/>
      <c r="E43" s="129"/>
      <c r="F43" s="130"/>
    </row>
    <row r="44" spans="1:7" x14ac:dyDescent="0.35">
      <c r="A44" s="61">
        <v>1</v>
      </c>
      <c r="B44" s="111" t="s">
        <v>23</v>
      </c>
      <c r="C44" s="111"/>
      <c r="D44" s="111"/>
      <c r="E44" s="6">
        <f>ROUND(5/56,4)</f>
        <v>8.9300000000000004E-2</v>
      </c>
      <c r="F44" s="112"/>
    </row>
    <row r="45" spans="1:7" x14ac:dyDescent="0.35">
      <c r="A45" s="61">
        <v>2</v>
      </c>
      <c r="B45" s="111" t="s">
        <v>24</v>
      </c>
      <c r="C45" s="111"/>
      <c r="D45" s="111"/>
      <c r="E45" s="6">
        <f>ROUND($E$44/3,4)</f>
        <v>2.98E-2</v>
      </c>
      <c r="F45" s="113"/>
    </row>
    <row r="46" spans="1:7" x14ac:dyDescent="0.35">
      <c r="A46" s="61">
        <v>3</v>
      </c>
      <c r="B46" s="111" t="s">
        <v>25</v>
      </c>
      <c r="C46" s="111"/>
      <c r="D46" s="111"/>
      <c r="E46" s="6">
        <f>ROUND((E44+E45)*E41,4)</f>
        <v>4.1399999999999999E-2</v>
      </c>
      <c r="F46" s="113"/>
    </row>
    <row r="47" spans="1:7" x14ac:dyDescent="0.35">
      <c r="A47" s="131" t="s">
        <v>89</v>
      </c>
      <c r="B47" s="131"/>
      <c r="C47" s="131"/>
      <c r="D47" s="131"/>
      <c r="E47" s="8">
        <f>SUM(E44:E46)</f>
        <v>0.1605</v>
      </c>
      <c r="F47" s="114"/>
    </row>
    <row r="48" spans="1:7" ht="7.5" customHeight="1" x14ac:dyDescent="0.35">
      <c r="A48" s="95"/>
      <c r="B48" s="95"/>
      <c r="C48" s="95"/>
      <c r="D48" s="95"/>
      <c r="E48" s="95"/>
      <c r="F48" s="96"/>
    </row>
    <row r="49" spans="1:6" x14ac:dyDescent="0.35">
      <c r="A49" s="128" t="s">
        <v>26</v>
      </c>
      <c r="B49" s="129"/>
      <c r="C49" s="129"/>
      <c r="D49" s="129"/>
      <c r="E49" s="129"/>
      <c r="F49" s="129"/>
    </row>
    <row r="50" spans="1:6" x14ac:dyDescent="0.35">
      <c r="A50" s="61">
        <v>1</v>
      </c>
      <c r="B50" s="111" t="s">
        <v>27</v>
      </c>
      <c r="C50" s="111"/>
      <c r="D50" s="111"/>
      <c r="E50" s="62">
        <v>1.08E-3</v>
      </c>
      <c r="F50" s="112"/>
    </row>
    <row r="51" spans="1:6" x14ac:dyDescent="0.35">
      <c r="A51" s="61">
        <v>2</v>
      </c>
      <c r="B51" s="111" t="s">
        <v>25</v>
      </c>
      <c r="C51" s="111"/>
      <c r="D51" s="111"/>
      <c r="E51" s="6">
        <f>ROUND(E50*E41,4)</f>
        <v>4.0000000000000002E-4</v>
      </c>
      <c r="F51" s="113"/>
    </row>
    <row r="52" spans="1:6" x14ac:dyDescent="0.35">
      <c r="A52" s="131" t="s">
        <v>88</v>
      </c>
      <c r="B52" s="131"/>
      <c r="C52" s="131"/>
      <c r="D52" s="131"/>
      <c r="E52" s="8">
        <f>SUM(E50:E51)</f>
        <v>1.48E-3</v>
      </c>
      <c r="F52" s="114"/>
    </row>
    <row r="53" spans="1:6" ht="7.5" customHeight="1" x14ac:dyDescent="0.35">
      <c r="A53" s="95"/>
      <c r="B53" s="95"/>
      <c r="C53" s="95"/>
      <c r="D53" s="95"/>
      <c r="E53" s="95"/>
      <c r="F53" s="96"/>
    </row>
    <row r="54" spans="1:6" x14ac:dyDescent="0.35">
      <c r="A54" s="128" t="s">
        <v>28</v>
      </c>
      <c r="B54" s="129"/>
      <c r="C54" s="129"/>
      <c r="D54" s="129"/>
      <c r="E54" s="129"/>
      <c r="F54" s="130"/>
    </row>
    <row r="55" spans="1:6" x14ac:dyDescent="0.35">
      <c r="A55" s="61">
        <v>1</v>
      </c>
      <c r="B55" s="111" t="s">
        <v>29</v>
      </c>
      <c r="C55" s="111"/>
      <c r="D55" s="111"/>
      <c r="E55" s="6">
        <f>ROUND(1/12*5%,4)</f>
        <v>4.1999999999999997E-3</v>
      </c>
      <c r="F55" s="112"/>
    </row>
    <row r="56" spans="1:6" x14ac:dyDescent="0.35">
      <c r="A56" s="61">
        <v>2</v>
      </c>
      <c r="B56" s="147" t="s">
        <v>30</v>
      </c>
      <c r="C56" s="147"/>
      <c r="D56" s="147"/>
      <c r="E56" s="6">
        <f>ROUND($E$55*E38,4)</f>
        <v>2.9999999999999997E-4</v>
      </c>
      <c r="F56" s="113"/>
    </row>
    <row r="57" spans="1:6" x14ac:dyDescent="0.35">
      <c r="A57" s="61">
        <v>3</v>
      </c>
      <c r="B57" s="147" t="s">
        <v>31</v>
      </c>
      <c r="C57" s="147"/>
      <c r="D57" s="147"/>
      <c r="E57" s="6">
        <f>ROUND($E$56*0.5,4)</f>
        <v>2.0000000000000001E-4</v>
      </c>
      <c r="F57" s="113"/>
    </row>
    <row r="58" spans="1:6" x14ac:dyDescent="0.35">
      <c r="A58" s="61">
        <v>4</v>
      </c>
      <c r="B58" s="111" t="s">
        <v>32</v>
      </c>
      <c r="C58" s="111"/>
      <c r="D58" s="111"/>
      <c r="E58" s="6">
        <f>ROUND(1/30/12*7*2%,4)</f>
        <v>4.0000000000000002E-4</v>
      </c>
      <c r="F58" s="113"/>
    </row>
    <row r="59" spans="1:6" x14ac:dyDescent="0.35">
      <c r="A59" s="61">
        <v>5</v>
      </c>
      <c r="B59" s="147" t="s">
        <v>33</v>
      </c>
      <c r="C59" s="147"/>
      <c r="D59" s="147"/>
      <c r="E59" s="6">
        <f>ROUND(E58*$E$41,4)</f>
        <v>1E-4</v>
      </c>
      <c r="F59" s="113"/>
    </row>
    <row r="60" spans="1:6" x14ac:dyDescent="0.35">
      <c r="A60" s="61">
        <v>6</v>
      </c>
      <c r="B60" s="147" t="s">
        <v>34</v>
      </c>
      <c r="C60" s="147"/>
      <c r="D60" s="147"/>
      <c r="E60" s="6">
        <f>ROUND($E$58*0.08*0.5,4)</f>
        <v>0</v>
      </c>
      <c r="F60" s="113"/>
    </row>
    <row r="61" spans="1:6" x14ac:dyDescent="0.35">
      <c r="A61" s="61">
        <v>7</v>
      </c>
      <c r="B61" s="148" t="s">
        <v>35</v>
      </c>
      <c r="C61" s="148"/>
      <c r="D61" s="148"/>
      <c r="E61" s="6">
        <f>ROUND((1%*(1/12)),4)</f>
        <v>8.0000000000000004E-4</v>
      </c>
      <c r="F61" s="113"/>
    </row>
    <row r="62" spans="1:6" x14ac:dyDescent="0.35">
      <c r="A62" s="131" t="s">
        <v>87</v>
      </c>
      <c r="B62" s="131"/>
      <c r="C62" s="131"/>
      <c r="D62" s="131"/>
      <c r="E62" s="8">
        <f>SUM(E55:E61)</f>
        <v>6.0000000000000001E-3</v>
      </c>
      <c r="F62" s="114"/>
    </row>
    <row r="63" spans="1:6" ht="7.5" customHeight="1" x14ac:dyDescent="0.35">
      <c r="A63" s="95"/>
      <c r="B63" s="95"/>
      <c r="C63" s="95"/>
      <c r="D63" s="95"/>
      <c r="E63" s="95"/>
      <c r="F63" s="96"/>
    </row>
    <row r="64" spans="1:6" x14ac:dyDescent="0.35">
      <c r="A64" s="128" t="s">
        <v>36</v>
      </c>
      <c r="B64" s="129"/>
      <c r="C64" s="129"/>
      <c r="D64" s="129"/>
      <c r="E64" s="129"/>
      <c r="F64" s="130"/>
    </row>
    <row r="65" spans="1:6" x14ac:dyDescent="0.35">
      <c r="A65" s="61">
        <v>1</v>
      </c>
      <c r="B65" s="111" t="s">
        <v>37</v>
      </c>
      <c r="C65" s="111"/>
      <c r="D65" s="111"/>
      <c r="E65" s="6">
        <f>ROUND(1*8%*50%*90%,4)</f>
        <v>3.5999999999999997E-2</v>
      </c>
      <c r="F65" s="112"/>
    </row>
    <row r="66" spans="1:6" x14ac:dyDescent="0.35">
      <c r="A66" s="61">
        <v>2</v>
      </c>
      <c r="B66" s="111" t="s">
        <v>38</v>
      </c>
      <c r="C66" s="111"/>
      <c r="D66" s="111"/>
      <c r="E66" s="6">
        <f>ROUND(($E$44+$E$45)*8%*50%*90%,4)</f>
        <v>4.3E-3</v>
      </c>
      <c r="F66" s="113"/>
    </row>
    <row r="67" spans="1:6" x14ac:dyDescent="0.35">
      <c r="A67" s="61">
        <v>9</v>
      </c>
      <c r="B67" s="111" t="s">
        <v>39</v>
      </c>
      <c r="C67" s="111"/>
      <c r="D67" s="111"/>
      <c r="E67" s="6">
        <f>ROUND($E$44*8%*50%*90%,4)</f>
        <v>3.2000000000000002E-3</v>
      </c>
      <c r="F67" s="113"/>
    </row>
    <row r="68" spans="1:6" x14ac:dyDescent="0.35">
      <c r="A68" s="131" t="s">
        <v>86</v>
      </c>
      <c r="B68" s="131"/>
      <c r="C68" s="131"/>
      <c r="D68" s="131"/>
      <c r="E68" s="8">
        <f>SUM(E65:E67)</f>
        <v>4.3499999999999997E-2</v>
      </c>
      <c r="F68" s="114"/>
    </row>
    <row r="69" spans="1:6" ht="7.5" customHeight="1" x14ac:dyDescent="0.35">
      <c r="A69" s="95"/>
      <c r="B69" s="95"/>
      <c r="C69" s="95"/>
      <c r="D69" s="95"/>
      <c r="E69" s="95"/>
      <c r="F69" s="96"/>
    </row>
    <row r="70" spans="1:6" x14ac:dyDescent="0.35">
      <c r="A70" s="128" t="s">
        <v>40</v>
      </c>
      <c r="B70" s="129"/>
      <c r="C70" s="129"/>
      <c r="D70" s="129"/>
      <c r="E70" s="129"/>
      <c r="F70" s="130"/>
    </row>
    <row r="71" spans="1:6" x14ac:dyDescent="0.35">
      <c r="A71" s="61">
        <v>1</v>
      </c>
      <c r="B71" s="111" t="s">
        <v>41</v>
      </c>
      <c r="C71" s="111"/>
      <c r="D71" s="111"/>
      <c r="E71" s="6">
        <f>ROUND(5/56,4)</f>
        <v>8.9300000000000004E-2</v>
      </c>
      <c r="F71" s="112"/>
    </row>
    <row r="72" spans="1:6" x14ac:dyDescent="0.35">
      <c r="A72" s="61">
        <v>2</v>
      </c>
      <c r="B72" s="111" t="s">
        <v>42</v>
      </c>
      <c r="C72" s="111"/>
      <c r="D72" s="111"/>
      <c r="E72" s="6">
        <f>ROUND((5.96/30)/12,4)</f>
        <v>1.66E-2</v>
      </c>
      <c r="F72" s="113"/>
    </row>
    <row r="73" spans="1:6" x14ac:dyDescent="0.35">
      <c r="A73" s="61">
        <v>3</v>
      </c>
      <c r="B73" s="111" t="s">
        <v>43</v>
      </c>
      <c r="C73" s="111"/>
      <c r="D73" s="111"/>
      <c r="E73" s="62">
        <f>5/30/12*1.5%</f>
        <v>2.0833333333333332E-4</v>
      </c>
      <c r="F73" s="113"/>
    </row>
    <row r="74" spans="1:6" x14ac:dyDescent="0.35">
      <c r="A74" s="61">
        <v>4</v>
      </c>
      <c r="B74" s="111" t="s">
        <v>44</v>
      </c>
      <c r="C74" s="111"/>
      <c r="D74" s="111"/>
      <c r="E74" s="6">
        <f>ROUND(2.96/360,4)</f>
        <v>8.2000000000000007E-3</v>
      </c>
      <c r="F74" s="113"/>
    </row>
    <row r="75" spans="1:6" x14ac:dyDescent="0.35">
      <c r="A75" s="61">
        <v>5</v>
      </c>
      <c r="B75" s="111" t="s">
        <v>45</v>
      </c>
      <c r="C75" s="111"/>
      <c r="D75" s="111"/>
      <c r="E75" s="6">
        <f>ROUND((15/30)/12*0.78%,4)</f>
        <v>2.9999999999999997E-4</v>
      </c>
      <c r="F75" s="113"/>
    </row>
    <row r="76" spans="1:6" x14ac:dyDescent="0.35">
      <c r="A76" s="61">
        <v>6</v>
      </c>
      <c r="B76" s="111" t="s">
        <v>25</v>
      </c>
      <c r="C76" s="111"/>
      <c r="D76" s="111"/>
      <c r="E76" s="6">
        <f>ROUND(SUM(E71:E75)*$E$41,4)</f>
        <v>3.9899999999999998E-2</v>
      </c>
      <c r="F76" s="113"/>
    </row>
    <row r="77" spans="1:6" x14ac:dyDescent="0.35">
      <c r="A77" s="131" t="s">
        <v>85</v>
      </c>
      <c r="B77" s="131"/>
      <c r="C77" s="131"/>
      <c r="D77" s="131"/>
      <c r="E77" s="8">
        <f>SUM(E71:E76)</f>
        <v>0.15450833333333333</v>
      </c>
      <c r="F77" s="114"/>
    </row>
    <row r="78" spans="1:6" ht="7.5" customHeight="1" x14ac:dyDescent="0.35">
      <c r="A78" s="95"/>
      <c r="B78" s="95"/>
      <c r="C78" s="95"/>
      <c r="D78" s="95"/>
      <c r="E78" s="95"/>
      <c r="F78" s="96"/>
    </row>
    <row r="79" spans="1:6" x14ac:dyDescent="0.35">
      <c r="A79" s="132" t="s">
        <v>46</v>
      </c>
      <c r="B79" s="133"/>
      <c r="C79" s="133"/>
      <c r="D79" s="134"/>
      <c r="E79" s="10">
        <f>E77+E68+E62+E52+E47+E41</f>
        <v>0.71398833333333345</v>
      </c>
      <c r="F79" s="19">
        <f>ROUND($E79*$F$29,2)</f>
        <v>1080.26</v>
      </c>
    </row>
    <row r="80" spans="1:6" ht="7.5" customHeight="1" x14ac:dyDescent="0.35">
      <c r="A80" s="95"/>
      <c r="B80" s="95"/>
      <c r="C80" s="95"/>
      <c r="D80" s="95"/>
      <c r="E80" s="95"/>
      <c r="F80" s="96"/>
    </row>
    <row r="81" spans="1:6" x14ac:dyDescent="0.35">
      <c r="A81" s="128" t="s">
        <v>47</v>
      </c>
      <c r="B81" s="129"/>
      <c r="C81" s="129"/>
      <c r="D81" s="129"/>
      <c r="E81" s="129"/>
      <c r="F81" s="12" t="s">
        <v>10</v>
      </c>
    </row>
    <row r="82" spans="1:6" x14ac:dyDescent="0.35">
      <c r="A82" s="172" t="s">
        <v>48</v>
      </c>
      <c r="B82" s="172"/>
      <c r="C82" s="172"/>
      <c r="D82" s="172"/>
      <c r="E82" s="172"/>
      <c r="F82" s="80"/>
    </row>
    <row r="83" spans="1:6" x14ac:dyDescent="0.35">
      <c r="A83" s="2"/>
      <c r="B83" s="117" t="s">
        <v>49</v>
      </c>
      <c r="C83" s="118"/>
      <c r="D83" s="2" t="s">
        <v>50</v>
      </c>
      <c r="E83" s="2" t="s">
        <v>51</v>
      </c>
      <c r="F83" s="13"/>
    </row>
    <row r="84" spans="1:6" x14ac:dyDescent="0.35">
      <c r="A84" s="2">
        <v>1</v>
      </c>
      <c r="B84" s="14" t="s">
        <v>52</v>
      </c>
      <c r="C84" s="119">
        <f>$C$18</f>
        <v>22</v>
      </c>
      <c r="D84" s="63">
        <v>19</v>
      </c>
      <c r="E84" s="63">
        <v>0</v>
      </c>
      <c r="F84" s="3">
        <f>($D$84-$E$84)*$C$84</f>
        <v>418</v>
      </c>
    </row>
    <row r="85" spans="1:6" x14ac:dyDescent="0.35">
      <c r="A85" s="2">
        <v>2</v>
      </c>
      <c r="B85" s="14" t="s">
        <v>107</v>
      </c>
      <c r="C85" s="120"/>
      <c r="D85" s="63">
        <v>9.14</v>
      </c>
      <c r="E85" s="3">
        <f>IF(ROUND($F$27*0.06,2)&gt;(C84*D85),0,ROUND($F$27*0.06,2))</f>
        <v>90.78</v>
      </c>
      <c r="F85" s="15">
        <f>IF($E$85&gt;0,($D$85*$C$84)-$E$85,0)</f>
        <v>110.30000000000001</v>
      </c>
    </row>
    <row r="86" spans="1:6" x14ac:dyDescent="0.35">
      <c r="A86" s="121" t="s">
        <v>53</v>
      </c>
      <c r="B86" s="122"/>
      <c r="C86" s="122"/>
      <c r="D86" s="122"/>
      <c r="E86" s="122"/>
      <c r="F86" s="123"/>
    </row>
    <row r="87" spans="1:6" x14ac:dyDescent="0.35">
      <c r="A87" s="2">
        <v>3</v>
      </c>
      <c r="B87" s="87" t="s">
        <v>143</v>
      </c>
      <c r="C87" s="88"/>
      <c r="D87" s="88"/>
      <c r="E87" s="89"/>
      <c r="F87" s="63">
        <v>0</v>
      </c>
    </row>
    <row r="88" spans="1:6" x14ac:dyDescent="0.35">
      <c r="A88" s="2">
        <v>4</v>
      </c>
      <c r="B88" s="87" t="s">
        <v>145</v>
      </c>
      <c r="C88" s="88"/>
      <c r="D88" s="88"/>
      <c r="E88" s="89"/>
      <c r="F88" s="63">
        <v>0</v>
      </c>
    </row>
    <row r="89" spans="1:6" x14ac:dyDescent="0.35">
      <c r="A89" s="2">
        <v>5</v>
      </c>
      <c r="B89" s="87" t="s">
        <v>144</v>
      </c>
      <c r="C89" s="88"/>
      <c r="D89" s="88"/>
      <c r="E89" s="89"/>
      <c r="F89" s="63">
        <v>6.78</v>
      </c>
    </row>
    <row r="90" spans="1:6" x14ac:dyDescent="0.35">
      <c r="A90" s="121" t="s">
        <v>54</v>
      </c>
      <c r="B90" s="122"/>
      <c r="C90" s="122"/>
      <c r="D90" s="122"/>
      <c r="E90" s="122"/>
      <c r="F90" s="123"/>
    </row>
    <row r="91" spans="1:6" x14ac:dyDescent="0.35">
      <c r="A91" s="2">
        <v>6</v>
      </c>
      <c r="B91" s="87" t="s">
        <v>55</v>
      </c>
      <c r="C91" s="88"/>
      <c r="D91" s="88"/>
      <c r="E91" s="89"/>
      <c r="F91" s="63">
        <v>0</v>
      </c>
    </row>
    <row r="92" spans="1:6" x14ac:dyDescent="0.35">
      <c r="A92" s="2">
        <v>7</v>
      </c>
      <c r="B92" s="87" t="s">
        <v>56</v>
      </c>
      <c r="C92" s="88"/>
      <c r="D92" s="16" t="s">
        <v>57</v>
      </c>
      <c r="E92" s="62">
        <v>0</v>
      </c>
      <c r="F92" s="15">
        <f>ROUND($E$92*$F$29,2)</f>
        <v>0</v>
      </c>
    </row>
    <row r="93" spans="1:6" x14ac:dyDescent="0.35">
      <c r="A93" s="2">
        <v>8</v>
      </c>
      <c r="B93" s="87" t="s">
        <v>58</v>
      </c>
      <c r="C93" s="88"/>
      <c r="D93" s="88"/>
      <c r="E93" s="89"/>
      <c r="F93" s="63">
        <v>270</v>
      </c>
    </row>
    <row r="94" spans="1:6" x14ac:dyDescent="0.35">
      <c r="A94" s="2">
        <v>9</v>
      </c>
      <c r="B94" s="87" t="s">
        <v>76</v>
      </c>
      <c r="C94" s="88"/>
      <c r="D94" s="88"/>
      <c r="E94" s="89"/>
      <c r="F94" s="63">
        <v>0</v>
      </c>
    </row>
    <row r="95" spans="1:6" x14ac:dyDescent="0.35">
      <c r="A95" s="103" t="s">
        <v>84</v>
      </c>
      <c r="B95" s="104"/>
      <c r="C95" s="104"/>
      <c r="D95" s="104"/>
      <c r="E95" s="105"/>
      <c r="F95" s="37">
        <f>F84+F85+F87+F88+F89+F91+F92+F93+F94</f>
        <v>805.07999999999993</v>
      </c>
    </row>
    <row r="96" spans="1:6" x14ac:dyDescent="0.35">
      <c r="A96" s="126"/>
      <c r="B96" s="126"/>
      <c r="C96" s="126"/>
      <c r="D96" s="126"/>
      <c r="E96" s="126"/>
      <c r="F96" s="127"/>
    </row>
    <row r="97" spans="1:9" x14ac:dyDescent="0.35">
      <c r="A97" s="128" t="s">
        <v>59</v>
      </c>
      <c r="B97" s="129"/>
      <c r="C97" s="129"/>
      <c r="D97" s="129"/>
      <c r="E97" s="130"/>
      <c r="F97" s="1" t="s">
        <v>10</v>
      </c>
    </row>
    <row r="98" spans="1:9" x14ac:dyDescent="0.35">
      <c r="A98" s="61">
        <v>1</v>
      </c>
      <c r="B98" s="87" t="s">
        <v>78</v>
      </c>
      <c r="C98" s="88"/>
      <c r="D98" s="88"/>
      <c r="E98" s="89"/>
      <c r="F98" s="63">
        <v>0</v>
      </c>
    </row>
    <row r="99" spans="1:9" x14ac:dyDescent="0.35">
      <c r="A99" s="61">
        <v>2</v>
      </c>
      <c r="B99" s="87" t="s">
        <v>76</v>
      </c>
      <c r="C99" s="88"/>
      <c r="D99" s="88"/>
      <c r="E99" s="89"/>
      <c r="F99" s="63">
        <v>0</v>
      </c>
    </row>
    <row r="100" spans="1:9" x14ac:dyDescent="0.35">
      <c r="A100" s="103" t="s">
        <v>60</v>
      </c>
      <c r="B100" s="104"/>
      <c r="C100" s="104"/>
      <c r="D100" s="104"/>
      <c r="E100" s="105"/>
      <c r="F100" s="52">
        <f>F98</f>
        <v>0</v>
      </c>
    </row>
    <row r="101" spans="1:9" ht="7.5" customHeight="1" x14ac:dyDescent="0.35">
      <c r="A101" s="95"/>
      <c r="B101" s="95"/>
      <c r="C101" s="95"/>
      <c r="D101" s="95"/>
      <c r="E101" s="95"/>
      <c r="F101" s="96"/>
    </row>
    <row r="102" spans="1:9" x14ac:dyDescent="0.35">
      <c r="A102" s="103" t="s">
        <v>83</v>
      </c>
      <c r="B102" s="104"/>
      <c r="C102" s="104"/>
      <c r="D102" s="104"/>
      <c r="E102" s="105"/>
      <c r="F102" s="37">
        <f>F$100+F$95+F$79+$F$29</f>
        <v>3398.34</v>
      </c>
      <c r="I102" s="69"/>
    </row>
    <row r="103" spans="1:9" ht="7.5" customHeight="1" x14ac:dyDescent="0.35">
      <c r="A103" s="95"/>
      <c r="B103" s="95"/>
      <c r="C103" s="95"/>
      <c r="D103" s="95"/>
      <c r="E103" s="95"/>
      <c r="F103" s="96"/>
    </row>
    <row r="104" spans="1:9" x14ac:dyDescent="0.35">
      <c r="A104" s="137" t="s">
        <v>131</v>
      </c>
      <c r="B104" s="138"/>
      <c r="C104" s="138"/>
      <c r="D104" s="139"/>
      <c r="E104" s="17" t="s">
        <v>57</v>
      </c>
      <c r="F104" s="1" t="s">
        <v>61</v>
      </c>
    </row>
    <row r="105" spans="1:9" ht="15" customHeight="1" x14ac:dyDescent="0.35">
      <c r="A105" s="61">
        <v>1</v>
      </c>
      <c r="B105" s="140" t="s">
        <v>62</v>
      </c>
      <c r="C105" s="141"/>
      <c r="D105" s="142"/>
      <c r="E105" s="6">
        <f>$C$10</f>
        <v>0.04</v>
      </c>
      <c r="F105" s="143"/>
    </row>
    <row r="106" spans="1:9" ht="15" customHeight="1" x14ac:dyDescent="0.35">
      <c r="A106" s="61">
        <v>2</v>
      </c>
      <c r="B106" s="140" t="s">
        <v>63</v>
      </c>
      <c r="C106" s="141"/>
      <c r="D106" s="142"/>
      <c r="E106" s="6">
        <f>$C$11</f>
        <v>0.11749999999999999</v>
      </c>
      <c r="F106" s="144"/>
    </row>
    <row r="107" spans="1:9" ht="15" customHeight="1" x14ac:dyDescent="0.35">
      <c r="A107" s="61">
        <v>3</v>
      </c>
      <c r="B107" s="140" t="s">
        <v>64</v>
      </c>
      <c r="C107" s="141"/>
      <c r="D107" s="142"/>
      <c r="E107" s="6">
        <f>$C$14</f>
        <v>1.6500000000000001E-2</v>
      </c>
      <c r="F107" s="144"/>
    </row>
    <row r="108" spans="1:9" ht="15" customHeight="1" x14ac:dyDescent="0.35">
      <c r="A108" s="61">
        <v>4</v>
      </c>
      <c r="B108" s="140" t="s">
        <v>65</v>
      </c>
      <c r="C108" s="141"/>
      <c r="D108" s="142"/>
      <c r="E108" s="6">
        <f>$C$13</f>
        <v>7.5999999999999998E-2</v>
      </c>
      <c r="F108" s="144"/>
    </row>
    <row r="109" spans="1:9" s="68" customFormat="1" ht="15" customHeight="1" x14ac:dyDescent="0.35">
      <c r="A109" s="61">
        <v>5</v>
      </c>
      <c r="B109" s="140" t="s">
        <v>5</v>
      </c>
      <c r="C109" s="141"/>
      <c r="D109" s="142"/>
      <c r="E109" s="6">
        <f>$C$15</f>
        <v>0.05</v>
      </c>
      <c r="F109" s="144"/>
    </row>
    <row r="110" spans="1:9" s="68" customFormat="1" ht="15" customHeight="1" x14ac:dyDescent="0.35">
      <c r="A110" s="9">
        <v>6</v>
      </c>
      <c r="B110" s="140" t="s">
        <v>102</v>
      </c>
      <c r="C110" s="141"/>
      <c r="D110" s="142"/>
      <c r="E110" s="20">
        <f>$C$16</f>
        <v>0</v>
      </c>
      <c r="F110" s="145"/>
    </row>
    <row r="111" spans="1:9" s="68" customFormat="1" ht="15" customHeight="1" x14ac:dyDescent="0.35">
      <c r="A111" s="103" t="s">
        <v>66</v>
      </c>
      <c r="B111" s="104"/>
      <c r="C111" s="104"/>
      <c r="D111" s="105"/>
      <c r="E111" s="18">
        <f>ROUND((1+E105)*(1+E106)/(1-E109-E108-E107-E110)-1,4)</f>
        <v>0.3553</v>
      </c>
      <c r="F111" s="52">
        <f>ROUND($E$111*F$102,2)</f>
        <v>1207.43</v>
      </c>
      <c r="I111" s="69"/>
    </row>
    <row r="112" spans="1:9" ht="7.5" customHeight="1" x14ac:dyDescent="0.35">
      <c r="A112" s="95"/>
      <c r="B112" s="95"/>
      <c r="C112" s="95"/>
      <c r="D112" s="95"/>
      <c r="E112" s="95"/>
      <c r="F112" s="96"/>
    </row>
    <row r="113" spans="1:7" s="68" customFormat="1" ht="15.75" customHeight="1" x14ac:dyDescent="0.35">
      <c r="A113" s="132" t="s">
        <v>67</v>
      </c>
      <c r="B113" s="133"/>
      <c r="C113" s="133"/>
      <c r="D113" s="133"/>
      <c r="E113" s="134"/>
      <c r="F113" s="19">
        <f>F102+F111</f>
        <v>4605.7700000000004</v>
      </c>
    </row>
    <row r="114" spans="1:7" ht="7.5" customHeight="1" x14ac:dyDescent="0.35">
      <c r="A114" s="95"/>
      <c r="B114" s="95"/>
      <c r="C114" s="95"/>
      <c r="D114" s="95"/>
      <c r="E114" s="95"/>
      <c r="F114" s="96"/>
    </row>
    <row r="115" spans="1:7" s="68" customFormat="1" ht="15.75" customHeight="1" x14ac:dyDescent="0.35">
      <c r="A115" s="132" t="s">
        <v>77</v>
      </c>
      <c r="B115" s="133"/>
      <c r="C115" s="133"/>
      <c r="D115" s="133"/>
      <c r="E115" s="134"/>
      <c r="F115" s="11">
        <f>F$113*$F$23</f>
        <v>9211.5400000000009</v>
      </c>
    </row>
    <row r="116" spans="1:7" ht="7.5" customHeight="1" x14ac:dyDescent="0.35">
      <c r="A116" s="95"/>
      <c r="B116" s="95"/>
      <c r="C116" s="95"/>
      <c r="D116" s="95"/>
      <c r="E116" s="95"/>
      <c r="F116" s="96"/>
    </row>
    <row r="117" spans="1:7" s="68" customFormat="1" ht="15.75" customHeight="1" x14ac:dyDescent="0.35">
      <c r="A117" s="103" t="s">
        <v>68</v>
      </c>
      <c r="B117" s="104"/>
      <c r="C117" s="104"/>
      <c r="D117" s="104"/>
      <c r="E117" s="105"/>
      <c r="F117" s="52">
        <f>F$113/$C$84</f>
        <v>209.35318181818184</v>
      </c>
    </row>
    <row r="118" spans="1:7" ht="7.5" customHeight="1" x14ac:dyDescent="0.35">
      <c r="A118" s="95"/>
      <c r="B118" s="95"/>
      <c r="C118" s="95"/>
      <c r="D118" s="95"/>
      <c r="E118" s="95"/>
      <c r="F118" s="96"/>
    </row>
    <row r="119" spans="1:7" s="68" customFormat="1" ht="15" customHeight="1" x14ac:dyDescent="0.35">
      <c r="A119" s="170" t="s">
        <v>91</v>
      </c>
      <c r="B119" s="171"/>
      <c r="C119" s="171"/>
      <c r="D119" s="171"/>
      <c r="E119" s="171"/>
      <c r="F119" s="171"/>
    </row>
    <row r="120" spans="1:7" s="68" customFormat="1" ht="15" customHeight="1" x14ac:dyDescent="0.35">
      <c r="A120" s="61" t="s">
        <v>92</v>
      </c>
      <c r="B120" s="97" t="s">
        <v>108</v>
      </c>
      <c r="C120" s="98"/>
      <c r="D120" s="98"/>
      <c r="E120" s="99"/>
      <c r="F120" s="66">
        <f>$F$29*$F$23</f>
        <v>3026</v>
      </c>
    </row>
    <row r="121" spans="1:7" s="68" customFormat="1" ht="15" customHeight="1" x14ac:dyDescent="0.35">
      <c r="A121" s="61" t="s">
        <v>93</v>
      </c>
      <c r="B121" s="97" t="s">
        <v>39</v>
      </c>
      <c r="C121" s="98"/>
      <c r="D121" s="99"/>
      <c r="E121" s="65">
        <f>$E$44</f>
        <v>8.9300000000000004E-2</v>
      </c>
      <c r="F121" s="66">
        <f>ROUND(F$120*$E121,2)</f>
        <v>270.22000000000003</v>
      </c>
    </row>
    <row r="122" spans="1:7" s="68" customFormat="1" ht="15" customHeight="1" x14ac:dyDescent="0.35">
      <c r="A122" s="61" t="s">
        <v>94</v>
      </c>
      <c r="B122" s="97" t="s">
        <v>41</v>
      </c>
      <c r="C122" s="98"/>
      <c r="D122" s="99"/>
      <c r="E122" s="65">
        <f>$E$71</f>
        <v>8.9300000000000004E-2</v>
      </c>
      <c r="F122" s="66">
        <f>ROUND(F$120*$E122,2)</f>
        <v>270.22000000000003</v>
      </c>
    </row>
    <row r="123" spans="1:7" s="68" customFormat="1" ht="15" customHeight="1" x14ac:dyDescent="0.35">
      <c r="A123" s="61" t="s">
        <v>95</v>
      </c>
      <c r="B123" s="97" t="s">
        <v>96</v>
      </c>
      <c r="C123" s="98"/>
      <c r="D123" s="99"/>
      <c r="E123" s="65">
        <f>$E$45</f>
        <v>2.98E-2</v>
      </c>
      <c r="F123" s="66">
        <f>ROUND(F$120*$E123,2)</f>
        <v>90.17</v>
      </c>
    </row>
    <row r="124" spans="1:7" s="68" customFormat="1" ht="15" customHeight="1" x14ac:dyDescent="0.35">
      <c r="A124" s="61" t="s">
        <v>97</v>
      </c>
      <c r="B124" s="97" t="s">
        <v>101</v>
      </c>
      <c r="C124" s="99"/>
      <c r="D124" s="34" t="str">
        <f>CONCATENATE("Percentual:  ",TEXT($E$41,"0,00%"))</f>
        <v>Percentual:  34,80%</v>
      </c>
      <c r="E124" s="65">
        <f>ROUND($E$41*SUM(E121:E123),4)</f>
        <v>7.2499999999999995E-2</v>
      </c>
      <c r="F124" s="66">
        <f>ROUND(F$120*$E124,2)</f>
        <v>219.39</v>
      </c>
    </row>
    <row r="125" spans="1:7" s="68" customFormat="1" ht="15" customHeight="1" x14ac:dyDescent="0.35">
      <c r="A125" s="61" t="s">
        <v>98</v>
      </c>
      <c r="B125" s="97" t="s">
        <v>99</v>
      </c>
      <c r="C125" s="98"/>
      <c r="D125" s="99"/>
      <c r="E125" s="65">
        <f>$E$68</f>
        <v>4.3499999999999997E-2</v>
      </c>
      <c r="F125" s="66">
        <f>ROUND(F$120*$E125,2)</f>
        <v>131.63</v>
      </c>
    </row>
    <row r="126" spans="1:7" s="68" customFormat="1" ht="15" customHeight="1" x14ac:dyDescent="0.35">
      <c r="A126" s="39" t="s">
        <v>100</v>
      </c>
      <c r="B126" s="40"/>
      <c r="C126" s="40"/>
      <c r="D126" s="40"/>
      <c r="E126" s="35">
        <f t="shared" ref="E126:F126" si="0">SUM(E121:E125)</f>
        <v>0.32439999999999997</v>
      </c>
      <c r="F126" s="36">
        <f t="shared" si="0"/>
        <v>981.63</v>
      </c>
      <c r="G126" s="69"/>
    </row>
    <row r="127" spans="1:7" ht="7.5" customHeight="1" x14ac:dyDescent="0.35">
      <c r="A127" s="95"/>
      <c r="B127" s="95"/>
      <c r="C127" s="95"/>
      <c r="D127" s="95"/>
      <c r="E127" s="95"/>
      <c r="F127" s="96"/>
    </row>
    <row r="128" spans="1:7" s="68" customFormat="1" ht="15" customHeight="1" x14ac:dyDescent="0.35">
      <c r="A128" s="92" t="s">
        <v>117</v>
      </c>
      <c r="B128" s="92"/>
      <c r="C128" s="92"/>
      <c r="D128" s="92"/>
      <c r="E128" s="92"/>
      <c r="F128" s="92"/>
    </row>
    <row r="129" spans="1:6" s="68" customFormat="1" ht="15" customHeight="1" x14ac:dyDescent="0.35">
      <c r="A129" s="56" t="s">
        <v>118</v>
      </c>
      <c r="B129" s="106" t="s">
        <v>119</v>
      </c>
      <c r="C129" s="107"/>
      <c r="D129" s="107"/>
      <c r="E129" s="108"/>
      <c r="F129" s="57" t="s">
        <v>120</v>
      </c>
    </row>
    <row r="130" spans="1:6" s="68" customFormat="1" ht="15" customHeight="1" x14ac:dyDescent="0.35">
      <c r="A130" s="61">
        <v>1</v>
      </c>
      <c r="B130" s="97" t="s">
        <v>121</v>
      </c>
      <c r="C130" s="98"/>
      <c r="D130" s="98"/>
      <c r="E130" s="99"/>
      <c r="F130" s="58">
        <f>$F$84/$C$18</f>
        <v>19</v>
      </c>
    </row>
    <row r="131" spans="1:6" s="68" customFormat="1" ht="15" customHeight="1" x14ac:dyDescent="0.35">
      <c r="A131" s="61">
        <v>2</v>
      </c>
      <c r="B131" s="97" t="s">
        <v>122</v>
      </c>
      <c r="C131" s="98"/>
      <c r="D131" s="98"/>
      <c r="E131" s="99"/>
      <c r="F131" s="58">
        <f>$F$85/$C$18</f>
        <v>5.0136363636363646</v>
      </c>
    </row>
    <row r="132" spans="1:6" s="68" customFormat="1" ht="15" customHeight="1" x14ac:dyDescent="0.35">
      <c r="A132" s="61">
        <v>3</v>
      </c>
      <c r="B132" s="97" t="s">
        <v>128</v>
      </c>
      <c r="C132" s="98"/>
      <c r="D132" s="98"/>
      <c r="E132" s="99"/>
      <c r="F132" s="58">
        <f>$F$100/$C$18</f>
        <v>0</v>
      </c>
    </row>
    <row r="133" spans="1:6" s="68" customFormat="1" ht="15" customHeight="1" x14ac:dyDescent="0.35">
      <c r="A133" s="61">
        <v>4</v>
      </c>
      <c r="B133" s="97" t="s">
        <v>123</v>
      </c>
      <c r="C133" s="98"/>
      <c r="D133" s="98"/>
      <c r="E133" s="99"/>
      <c r="F133" s="58">
        <f>ROUND($F$29*$E$77,2)/$C$18</f>
        <v>10.625909090909092</v>
      </c>
    </row>
    <row r="134" spans="1:6" s="68" customFormat="1" ht="15" customHeight="1" x14ac:dyDescent="0.35">
      <c r="A134" s="100" t="s">
        <v>124</v>
      </c>
      <c r="B134" s="101"/>
      <c r="C134" s="101"/>
      <c r="D134" s="101"/>
      <c r="E134" s="102"/>
      <c r="F134" s="50">
        <f>SUM(F130:F133)</f>
        <v>34.639545454545456</v>
      </c>
    </row>
    <row r="135" spans="1:6" s="68" customFormat="1" ht="15" customHeight="1" x14ac:dyDescent="0.35">
      <c r="A135" s="61">
        <v>5</v>
      </c>
      <c r="B135" s="97" t="s">
        <v>125</v>
      </c>
      <c r="C135" s="99"/>
      <c r="D135" s="53" t="s">
        <v>57</v>
      </c>
      <c r="E135" s="55">
        <f>$C$17</f>
        <v>0.3553</v>
      </c>
      <c r="F135" s="49">
        <f>ROUND($E$135*$F$134,2)</f>
        <v>12.31</v>
      </c>
    </row>
    <row r="136" spans="1:6" s="68" customFormat="1" ht="15" customHeight="1" x14ac:dyDescent="0.35">
      <c r="A136" s="103" t="s">
        <v>126</v>
      </c>
      <c r="B136" s="104"/>
      <c r="C136" s="104"/>
      <c r="D136" s="104"/>
      <c r="E136" s="105"/>
      <c r="F136" s="52">
        <f>$F$134+$F$135</f>
        <v>46.949545454545458</v>
      </c>
    </row>
    <row r="137" spans="1:6" s="68" customFormat="1" ht="10.5" x14ac:dyDescent="0.35">
      <c r="A137" s="38"/>
      <c r="B137" s="38"/>
      <c r="C137" s="38"/>
      <c r="D137" s="38"/>
      <c r="E137" s="38"/>
      <c r="F137" s="38"/>
    </row>
    <row r="138" spans="1:6" s="68" customFormat="1" ht="15" customHeight="1" x14ac:dyDescent="0.35">
      <c r="A138" s="42" t="s">
        <v>127</v>
      </c>
      <c r="B138" s="43"/>
      <c r="C138" s="43"/>
      <c r="D138" s="43"/>
      <c r="E138" s="44"/>
      <c r="F138" s="52">
        <f>$F$136*$F$23</f>
        <v>93.899090909090916</v>
      </c>
    </row>
    <row r="139" spans="1:6" s="68" customFormat="1" ht="10.5" x14ac:dyDescent="0.35">
      <c r="A139" s="38"/>
      <c r="B139" s="38"/>
      <c r="C139" s="38"/>
      <c r="D139" s="38"/>
      <c r="E139" s="38"/>
      <c r="F139" s="38"/>
    </row>
    <row r="140" spans="1:6" s="68" customFormat="1" ht="10.5" x14ac:dyDescent="0.35">
      <c r="A140" s="124" t="s">
        <v>103</v>
      </c>
      <c r="B140" s="125"/>
      <c r="C140" s="125"/>
      <c r="D140" s="125"/>
      <c r="E140" s="125"/>
      <c r="F140" s="125"/>
    </row>
    <row r="141" spans="1:6" s="68" customFormat="1" ht="10.5" x14ac:dyDescent="0.35">
      <c r="A141" s="115"/>
      <c r="B141" s="116"/>
      <c r="C141" s="116"/>
      <c r="D141" s="116"/>
      <c r="E141" s="116"/>
      <c r="F141" s="116"/>
    </row>
    <row r="142" spans="1:6" s="68" customFormat="1" ht="17.25" customHeight="1" x14ac:dyDescent="0.35">
      <c r="A142" s="109" t="s">
        <v>130</v>
      </c>
      <c r="B142" s="110"/>
      <c r="C142" s="110"/>
      <c r="D142" s="110"/>
      <c r="E142" s="110"/>
      <c r="F142" s="110"/>
    </row>
    <row r="143" spans="1:6" s="68" customFormat="1" ht="17.25" customHeight="1" x14ac:dyDescent="0.35">
      <c r="A143" s="109" t="s">
        <v>104</v>
      </c>
      <c r="B143" s="110"/>
      <c r="C143" s="110"/>
      <c r="D143" s="110"/>
      <c r="E143" s="110"/>
      <c r="F143" s="110"/>
    </row>
    <row r="144" spans="1:6" s="68" customFormat="1" ht="17.25" customHeight="1" x14ac:dyDescent="0.35">
      <c r="A144" s="109" t="s">
        <v>105</v>
      </c>
      <c r="B144" s="110"/>
      <c r="C144" s="110"/>
      <c r="D144" s="110"/>
      <c r="E144" s="110"/>
      <c r="F144" s="110"/>
    </row>
    <row r="145" spans="1:6" s="68" customFormat="1" ht="17.25" customHeight="1" x14ac:dyDescent="0.35">
      <c r="A145" s="109" t="s">
        <v>138</v>
      </c>
      <c r="B145" s="110"/>
      <c r="C145" s="110"/>
      <c r="D145" s="110"/>
      <c r="E145" s="110"/>
      <c r="F145" s="110"/>
    </row>
    <row r="146" spans="1:6" s="68" customFormat="1" ht="42" customHeight="1" x14ac:dyDescent="0.35">
      <c r="A146" s="93" t="s">
        <v>139</v>
      </c>
      <c r="B146" s="94"/>
      <c r="C146" s="94"/>
      <c r="D146" s="94"/>
      <c r="E146" s="94"/>
      <c r="F146" s="94"/>
    </row>
    <row r="147" spans="1:6" s="68" customFormat="1" ht="42" customHeight="1" x14ac:dyDescent="0.35">
      <c r="A147" s="93" t="s">
        <v>140</v>
      </c>
      <c r="B147" s="94"/>
      <c r="C147" s="94"/>
      <c r="D147" s="94"/>
      <c r="E147" s="94"/>
      <c r="F147" s="94"/>
    </row>
    <row r="148" spans="1:6" s="68" customFormat="1" ht="15" customHeight="1" x14ac:dyDescent="0.35">
      <c r="A148" s="29"/>
      <c r="B148" s="29"/>
      <c r="C148" s="29"/>
      <c r="D148" s="29"/>
      <c r="E148" s="29"/>
      <c r="F148" s="29"/>
    </row>
    <row r="149" spans="1:6" s="68" customFormat="1" ht="10.5" x14ac:dyDescent="0.35"/>
    <row r="150" spans="1:6" s="68" customFormat="1" ht="10.5" x14ac:dyDescent="0.35"/>
    <row r="151" spans="1:6" s="68" customFormat="1" ht="10.5" x14ac:dyDescent="0.35"/>
    <row r="152" spans="1:6" s="68" customFormat="1" ht="10.5" x14ac:dyDescent="0.35"/>
    <row r="153" spans="1:6" s="68" customFormat="1" ht="10.5" x14ac:dyDescent="0.35"/>
    <row r="154" spans="1:6" s="68" customFormat="1" ht="10.5" x14ac:dyDescent="0.35"/>
    <row r="155" spans="1:6" s="68" customFormat="1" ht="10.5" x14ac:dyDescent="0.35"/>
    <row r="156" spans="1:6" s="68" customFormat="1" ht="11.25" customHeight="1" x14ac:dyDescent="0.35"/>
    <row r="157" spans="1:6" s="68" customFormat="1" ht="10.5" x14ac:dyDescent="0.35"/>
    <row r="158" spans="1:6" s="68" customFormat="1" ht="10.5" x14ac:dyDescent="0.35"/>
    <row r="159" spans="1:6" s="68" customFormat="1" ht="10.5" x14ac:dyDescent="0.35"/>
    <row r="160" spans="1:6" s="68" customFormat="1" ht="10.5" x14ac:dyDescent="0.35"/>
    <row r="161" s="68" customFormat="1" ht="10.5" x14ac:dyDescent="0.35"/>
    <row r="162" s="68" customFormat="1" ht="10.5" x14ac:dyDescent="0.35"/>
    <row r="163" s="68" customFormat="1" ht="10.5" x14ac:dyDescent="0.35"/>
    <row r="164" s="68" customFormat="1" ht="10.5" x14ac:dyDescent="0.35"/>
    <row r="165" s="68" customFormat="1" ht="10.5" x14ac:dyDescent="0.35"/>
    <row r="166" s="68" customFormat="1" ht="10.5" x14ac:dyDescent="0.35"/>
    <row r="167" s="68" customFormat="1" ht="10.5" x14ac:dyDescent="0.35"/>
    <row r="168" s="68" customFormat="1" ht="10.5" x14ac:dyDescent="0.35"/>
    <row r="169" s="68" customFormat="1" ht="10.5" x14ac:dyDescent="0.35"/>
    <row r="170" s="68" customFormat="1" ht="10.5" x14ac:dyDescent="0.35"/>
    <row r="171" s="68" customFormat="1" ht="10.5" x14ac:dyDescent="0.35"/>
    <row r="172" s="68" customFormat="1" ht="10.5" x14ac:dyDescent="0.35"/>
    <row r="173" s="68" customFormat="1" ht="10.5" x14ac:dyDescent="0.35"/>
    <row r="174" s="68" customFormat="1" ht="10.5" x14ac:dyDescent="0.35"/>
    <row r="175" s="68" customFormat="1" ht="10.5" x14ac:dyDescent="0.35"/>
    <row r="176" s="68" customFormat="1" ht="10.5" x14ac:dyDescent="0.35"/>
    <row r="177" s="68" customFormat="1" ht="10.5" x14ac:dyDescent="0.35"/>
    <row r="178" s="68" customFormat="1" ht="10.5" x14ac:dyDescent="0.35"/>
    <row r="179" s="68" customFormat="1" ht="10.5" x14ac:dyDescent="0.35"/>
    <row r="180" s="68" customFormat="1" ht="10.5" x14ac:dyDescent="0.35"/>
    <row r="181" s="68" customFormat="1" ht="10.5" x14ac:dyDescent="0.35"/>
    <row r="182" s="68" customFormat="1" ht="10.5" x14ac:dyDescent="0.35"/>
    <row r="183" s="68" customFormat="1" ht="10.5" x14ac:dyDescent="0.35"/>
    <row r="184" s="68" customFormat="1" ht="10.5" x14ac:dyDescent="0.35"/>
    <row r="185" s="68" customFormat="1" ht="10.5" x14ac:dyDescent="0.35"/>
    <row r="186" s="68" customFormat="1" ht="10.5" x14ac:dyDescent="0.35"/>
    <row r="187" s="68" customFormat="1" ht="10.5" x14ac:dyDescent="0.35"/>
    <row r="188" s="68" customFormat="1" ht="10.5" x14ac:dyDescent="0.35"/>
    <row r="189" s="68" customFormat="1" ht="10.5" x14ac:dyDescent="0.35"/>
    <row r="190" s="68" customFormat="1" ht="10.5" x14ac:dyDescent="0.35"/>
    <row r="191" s="68" customFormat="1" ht="10.5" x14ac:dyDescent="0.35"/>
    <row r="192" s="68" customFormat="1" ht="10.5" x14ac:dyDescent="0.35"/>
    <row r="193" s="68" customFormat="1" ht="10.5" x14ac:dyDescent="0.35"/>
    <row r="194" s="68" customFormat="1" ht="10.5" x14ac:dyDescent="0.35"/>
    <row r="195" s="68" customFormat="1" ht="10.5" x14ac:dyDescent="0.35"/>
    <row r="196" s="68" customFormat="1" ht="10.5" x14ac:dyDescent="0.35"/>
    <row r="197" s="68" customFormat="1" ht="10.5" x14ac:dyDescent="0.35"/>
    <row r="198" s="68" customFormat="1" ht="10.5" x14ac:dyDescent="0.35"/>
    <row r="199" s="68" customFormat="1" ht="10.5" x14ac:dyDescent="0.35"/>
    <row r="200" s="68" customFormat="1" ht="10.5" x14ac:dyDescent="0.35"/>
    <row r="201" s="68" customFormat="1" ht="10.5" x14ac:dyDescent="0.35"/>
    <row r="202" s="68" customFormat="1" ht="10.5" x14ac:dyDescent="0.35"/>
    <row r="203" s="68" customFormat="1" ht="10.5" x14ac:dyDescent="0.35"/>
    <row r="204" s="68" customFormat="1" ht="10.5" x14ac:dyDescent="0.35"/>
    <row r="205" s="68" customFormat="1" ht="10.5" x14ac:dyDescent="0.35"/>
    <row r="206" s="68" customFormat="1" ht="10.5" x14ac:dyDescent="0.35"/>
    <row r="207" s="68" customFormat="1" ht="10.5" x14ac:dyDescent="0.35"/>
    <row r="208" s="68" customFormat="1" ht="10.5" x14ac:dyDescent="0.35"/>
    <row r="209" s="68" customFormat="1" ht="10.5" x14ac:dyDescent="0.35"/>
    <row r="210" s="68" customFormat="1" ht="10.5" x14ac:dyDescent="0.35"/>
    <row r="211" s="68" customFormat="1" ht="10.5" x14ac:dyDescent="0.35"/>
    <row r="212" s="68" customFormat="1" ht="10.5" x14ac:dyDescent="0.35"/>
    <row r="213" s="68" customFormat="1" ht="10.5" x14ac:dyDescent="0.35"/>
    <row r="214" s="68" customFormat="1" ht="10.5" x14ac:dyDescent="0.35"/>
    <row r="215" s="68" customFormat="1" ht="10.5" x14ac:dyDescent="0.35"/>
    <row r="216" s="68" customFormat="1" ht="10.5" x14ac:dyDescent="0.35"/>
    <row r="217" s="68" customFormat="1" ht="10.5" x14ac:dyDescent="0.35"/>
    <row r="218" s="68" customFormat="1" ht="10.5" x14ac:dyDescent="0.35"/>
    <row r="219" s="68" customFormat="1" ht="10.5" x14ac:dyDescent="0.35"/>
    <row r="220" s="68" customFormat="1" ht="10.5" x14ac:dyDescent="0.35"/>
    <row r="221" s="68" customFormat="1" ht="10.5" x14ac:dyDescent="0.35"/>
    <row r="222" s="68" customFormat="1" ht="10.5" x14ac:dyDescent="0.35"/>
    <row r="223" s="68" customFormat="1" ht="10.5" x14ac:dyDescent="0.35"/>
    <row r="224" s="68" customFormat="1" ht="10.5" x14ac:dyDescent="0.35"/>
    <row r="225" s="68" customFormat="1" ht="10.5" x14ac:dyDescent="0.35"/>
    <row r="226" s="68" customFormat="1" ht="10.5" x14ac:dyDescent="0.35"/>
    <row r="227" s="68" customFormat="1" ht="10.5" x14ac:dyDescent="0.35"/>
    <row r="228" s="68" customFormat="1" ht="10.5" x14ac:dyDescent="0.35"/>
    <row r="229" s="68" customFormat="1" ht="10.5" x14ac:dyDescent="0.35"/>
    <row r="230" s="68" customFormat="1" ht="10.5" x14ac:dyDescent="0.35"/>
    <row r="231" s="68" customFormat="1" ht="10.5" x14ac:dyDescent="0.35"/>
    <row r="232" s="68" customFormat="1" ht="10.5" x14ac:dyDescent="0.35"/>
    <row r="233" s="68" customFormat="1" ht="10.5" x14ac:dyDescent="0.35"/>
    <row r="234" s="68" customFormat="1" ht="10.5" x14ac:dyDescent="0.35"/>
    <row r="235" s="68" customFormat="1" ht="10.5" x14ac:dyDescent="0.35"/>
    <row r="236" s="68" customFormat="1" ht="10.5" x14ac:dyDescent="0.35"/>
    <row r="237" s="68" customFormat="1" ht="10.5" x14ac:dyDescent="0.35"/>
    <row r="238" s="68" customFormat="1" ht="10.5" x14ac:dyDescent="0.35"/>
    <row r="239" s="68" customFormat="1" ht="10.5" x14ac:dyDescent="0.35"/>
    <row r="240" s="68" customFormat="1" ht="10.5" x14ac:dyDescent="0.35"/>
    <row r="241" s="68" customFormat="1" ht="10.5" x14ac:dyDescent="0.35"/>
    <row r="242" s="68" customFormat="1" ht="10.5" x14ac:dyDescent="0.35"/>
    <row r="243" s="68" customFormat="1" ht="10.5" x14ac:dyDescent="0.35"/>
    <row r="244" s="68" customFormat="1" ht="10.5" x14ac:dyDescent="0.35"/>
    <row r="245" s="68" customFormat="1" ht="10.5" x14ac:dyDescent="0.35"/>
    <row r="246" s="68" customFormat="1" ht="10.5" x14ac:dyDescent="0.35"/>
    <row r="247" s="68" customFormat="1" ht="10.5" x14ac:dyDescent="0.35"/>
    <row r="248" s="68" customFormat="1" ht="10.5" x14ac:dyDescent="0.35"/>
    <row r="249" s="68" customFormat="1" ht="10.5" x14ac:dyDescent="0.35"/>
    <row r="250" s="68" customFormat="1" ht="10.5" x14ac:dyDescent="0.35"/>
    <row r="251" s="68" customFormat="1" ht="10.5" x14ac:dyDescent="0.35"/>
    <row r="252" s="68" customFormat="1" ht="10.5" x14ac:dyDescent="0.35"/>
    <row r="253" s="68" customFormat="1" ht="10.5" x14ac:dyDescent="0.35"/>
    <row r="254" s="68" customFormat="1" ht="10.5" x14ac:dyDescent="0.35"/>
    <row r="255" s="68" customFormat="1" ht="10.5" x14ac:dyDescent="0.35"/>
    <row r="256" s="68" customFormat="1" ht="10.5" x14ac:dyDescent="0.35"/>
    <row r="257" s="68" customFormat="1" ht="10.5" x14ac:dyDescent="0.35"/>
    <row r="258" s="68" customFormat="1" ht="10.5" x14ac:dyDescent="0.35"/>
    <row r="259" s="68" customFormat="1" ht="10.5" x14ac:dyDescent="0.35"/>
    <row r="260" s="68" customFormat="1" ht="10.5" x14ac:dyDescent="0.35"/>
    <row r="261" s="68" customFormat="1" ht="10.5" x14ac:dyDescent="0.35"/>
    <row r="262" s="68" customFormat="1" ht="10.5" x14ac:dyDescent="0.35"/>
    <row r="263" s="68" customFormat="1" ht="10.5" x14ac:dyDescent="0.35"/>
    <row r="264" s="68" customFormat="1" ht="10.5" x14ac:dyDescent="0.35"/>
    <row r="265" s="68" customFormat="1" ht="10.5" x14ac:dyDescent="0.35"/>
    <row r="266" s="68" customFormat="1" ht="10.5" x14ac:dyDescent="0.35"/>
    <row r="267" s="68" customFormat="1" ht="10.5" x14ac:dyDescent="0.35"/>
    <row r="268" s="68" customFormat="1" ht="10.5" x14ac:dyDescent="0.35"/>
    <row r="269" s="68" customFormat="1" ht="10.5" x14ac:dyDescent="0.35"/>
    <row r="270" s="68" customFormat="1" ht="10.5" x14ac:dyDescent="0.35"/>
    <row r="271" s="68" customFormat="1" ht="10.5" x14ac:dyDescent="0.35"/>
    <row r="272" s="68" customFormat="1" ht="10.5" x14ac:dyDescent="0.35"/>
    <row r="273" s="68" customFormat="1" ht="10.5" x14ac:dyDescent="0.35"/>
    <row r="274" s="68" customFormat="1" ht="10.5" x14ac:dyDescent="0.35"/>
    <row r="275" s="68" customFormat="1" ht="10.5" x14ac:dyDescent="0.35"/>
    <row r="276" s="68" customFormat="1" ht="10.5" x14ac:dyDescent="0.35"/>
    <row r="277" s="68" customFormat="1" ht="10.5" x14ac:dyDescent="0.35"/>
    <row r="278" s="68" customFormat="1" ht="10.5" x14ac:dyDescent="0.35"/>
    <row r="279" s="68" customFormat="1" ht="10.5" x14ac:dyDescent="0.35"/>
    <row r="280" s="68" customFormat="1" ht="10.5" x14ac:dyDescent="0.35"/>
    <row r="281" s="68" customFormat="1" ht="10.5" x14ac:dyDescent="0.35"/>
    <row r="282" s="68" customFormat="1" ht="10.5" x14ac:dyDescent="0.35"/>
    <row r="283" s="68" customFormat="1" ht="10.5" x14ac:dyDescent="0.35"/>
    <row r="284" s="68" customFormat="1" ht="10.5" x14ac:dyDescent="0.35"/>
    <row r="285" s="68" customFormat="1" ht="10.5" x14ac:dyDescent="0.35"/>
    <row r="286" s="68" customFormat="1" ht="10.5" x14ac:dyDescent="0.35"/>
    <row r="287" s="68" customFormat="1" ht="10.5" x14ac:dyDescent="0.35"/>
    <row r="288" s="68" customFormat="1" ht="10.5" x14ac:dyDescent="0.35"/>
    <row r="289" s="68" customFormat="1" ht="10.5" x14ac:dyDescent="0.35"/>
    <row r="290" s="68" customFormat="1" ht="10.5" x14ac:dyDescent="0.35"/>
    <row r="291" s="68" customFormat="1" ht="10.5" x14ac:dyDescent="0.35"/>
    <row r="292" s="68" customFormat="1" ht="10.5" x14ac:dyDescent="0.35"/>
    <row r="293" s="68" customFormat="1" ht="10.5" x14ac:dyDescent="0.35"/>
    <row r="294" s="68" customFormat="1" ht="10.5" x14ac:dyDescent="0.35"/>
    <row r="295" s="68" customFormat="1" ht="10.5" x14ac:dyDescent="0.35"/>
    <row r="296" s="68" customFormat="1" ht="10.5" x14ac:dyDescent="0.35"/>
    <row r="297" s="68" customFormat="1" ht="10.5" x14ac:dyDescent="0.35"/>
    <row r="298" s="68" customFormat="1" ht="10.5" x14ac:dyDescent="0.35"/>
    <row r="299" s="68" customFormat="1" ht="10.5" x14ac:dyDescent="0.35"/>
    <row r="300" s="68" customFormat="1" ht="10.5" x14ac:dyDescent="0.35"/>
    <row r="301" s="68" customFormat="1" ht="10.5" x14ac:dyDescent="0.35"/>
    <row r="302" s="68" customFormat="1" ht="10.5" x14ac:dyDescent="0.35"/>
    <row r="303" s="68" customFormat="1" ht="10.5" x14ac:dyDescent="0.35"/>
    <row r="304" s="68" customFormat="1" ht="10.5" x14ac:dyDescent="0.35"/>
    <row r="305" s="68" customFormat="1" ht="10.5" x14ac:dyDescent="0.35"/>
    <row r="306" s="68" customFormat="1" ht="10.5" x14ac:dyDescent="0.35"/>
    <row r="307" s="68" customFormat="1" ht="10.5" x14ac:dyDescent="0.35"/>
    <row r="308" s="68" customFormat="1" ht="10.5" x14ac:dyDescent="0.35"/>
    <row r="309" s="68" customFormat="1" ht="10.5" x14ac:dyDescent="0.35"/>
    <row r="310" s="68" customFormat="1" ht="10.5" x14ac:dyDescent="0.35"/>
    <row r="311" s="68" customFormat="1" ht="10.5" x14ac:dyDescent="0.35"/>
    <row r="312" s="68" customFormat="1" ht="10.5" x14ac:dyDescent="0.35"/>
    <row r="313" s="68" customFormat="1" ht="10.5" x14ac:dyDescent="0.35"/>
    <row r="314" s="68" customFormat="1" ht="10.5" x14ac:dyDescent="0.35"/>
    <row r="315" s="68" customFormat="1" ht="10.5" x14ac:dyDescent="0.35"/>
    <row r="316" s="68" customFormat="1" ht="10.5" x14ac:dyDescent="0.35"/>
    <row r="317" s="68" customFormat="1" ht="10.5" x14ac:dyDescent="0.35"/>
    <row r="318" s="68" customFormat="1" ht="10.5" x14ac:dyDescent="0.35"/>
    <row r="319" s="68" customFormat="1" ht="10.5" x14ac:dyDescent="0.35"/>
    <row r="320" s="68" customFormat="1" ht="10.5" x14ac:dyDescent="0.35"/>
    <row r="321" s="68" customFormat="1" ht="10.5" x14ac:dyDescent="0.35"/>
    <row r="322" s="68" customFormat="1" ht="10.5" x14ac:dyDescent="0.35"/>
    <row r="323" s="68" customFormat="1" ht="10.5" x14ac:dyDescent="0.35"/>
    <row r="324" s="68" customFormat="1" ht="10.5" x14ac:dyDescent="0.35"/>
    <row r="325" s="68" customFormat="1" ht="10.5" x14ac:dyDescent="0.35"/>
    <row r="326" s="68" customFormat="1" ht="10.5" x14ac:dyDescent="0.35"/>
    <row r="327" s="68" customFormat="1" ht="10.5" x14ac:dyDescent="0.35"/>
    <row r="328" s="68" customFormat="1" ht="10.5" x14ac:dyDescent="0.35"/>
    <row r="329" s="68" customFormat="1" ht="10.5" x14ac:dyDescent="0.35"/>
    <row r="330" s="68" customFormat="1" ht="10.5" x14ac:dyDescent="0.35"/>
    <row r="331" s="68" customFormat="1" ht="10.5" x14ac:dyDescent="0.35"/>
    <row r="332" s="68" customFormat="1" ht="10.5" x14ac:dyDescent="0.35"/>
    <row r="333" s="68" customFormat="1" ht="10.5" x14ac:dyDescent="0.35"/>
    <row r="334" s="68" customFormat="1" ht="10.5" x14ac:dyDescent="0.35"/>
    <row r="335" s="68" customFormat="1" ht="10.5" x14ac:dyDescent="0.35"/>
    <row r="336" s="68" customFormat="1" ht="10.5" x14ac:dyDescent="0.35"/>
    <row r="337" s="68" customFormat="1" ht="10.5" x14ac:dyDescent="0.35"/>
    <row r="338" s="68" customFormat="1" ht="10.5" x14ac:dyDescent="0.35"/>
    <row r="339" s="68" customFormat="1" ht="10.5" x14ac:dyDescent="0.35"/>
    <row r="340" s="68" customFormat="1" ht="10.5" x14ac:dyDescent="0.35"/>
    <row r="341" s="68" customFormat="1" ht="10.5" x14ac:dyDescent="0.35"/>
    <row r="342" s="68" customFormat="1" ht="10.5" x14ac:dyDescent="0.35"/>
    <row r="343" s="68" customFormat="1" ht="10.5" x14ac:dyDescent="0.35"/>
    <row r="344" s="68" customFormat="1" ht="10.5" x14ac:dyDescent="0.35"/>
    <row r="345" s="68" customFormat="1" ht="10.5" x14ac:dyDescent="0.35"/>
    <row r="346" s="68" customFormat="1" ht="10.5" x14ac:dyDescent="0.35"/>
    <row r="347" s="68" customFormat="1" ht="10.5" x14ac:dyDescent="0.35"/>
    <row r="348" s="68" customFormat="1" ht="10.5" x14ac:dyDescent="0.35"/>
    <row r="349" s="68" customFormat="1" ht="10.5" x14ac:dyDescent="0.35"/>
    <row r="350" s="68" customFormat="1" ht="10.5" x14ac:dyDescent="0.35"/>
    <row r="351" s="68" customFormat="1" ht="10.5" x14ac:dyDescent="0.35"/>
    <row r="352" s="68" customFormat="1" ht="10.5" x14ac:dyDescent="0.35"/>
    <row r="353" s="68" customFormat="1" ht="10.5" x14ac:dyDescent="0.35"/>
    <row r="354" s="68" customFormat="1" ht="10.5" x14ac:dyDescent="0.35"/>
    <row r="355" s="68" customFormat="1" ht="10.5" x14ac:dyDescent="0.35"/>
    <row r="356" s="68" customFormat="1" ht="10.5" x14ac:dyDescent="0.35"/>
    <row r="357" s="68" customFormat="1" ht="10.5" x14ac:dyDescent="0.35"/>
    <row r="358" s="68" customFormat="1" ht="10.5" x14ac:dyDescent="0.35"/>
    <row r="359" s="68" customFormat="1" ht="10.5" x14ac:dyDescent="0.35"/>
    <row r="360" s="68" customFormat="1" ht="10.5" x14ac:dyDescent="0.35"/>
    <row r="361" s="68" customFormat="1" ht="10.5" x14ac:dyDescent="0.35"/>
    <row r="362" s="68" customFormat="1" ht="10.5" x14ac:dyDescent="0.35"/>
    <row r="363" s="68" customFormat="1" ht="10.5" x14ac:dyDescent="0.35"/>
    <row r="364" s="68" customFormat="1" ht="10.5" x14ac:dyDescent="0.35"/>
    <row r="365" s="68" customFormat="1" ht="10.5" x14ac:dyDescent="0.35"/>
    <row r="366" s="68" customFormat="1" ht="10.5" x14ac:dyDescent="0.35"/>
    <row r="367" s="68" customFormat="1" ht="10.5" x14ac:dyDescent="0.35"/>
    <row r="368" s="68" customFormat="1" ht="10.5" x14ac:dyDescent="0.35"/>
    <row r="369" s="68" customFormat="1" ht="10.5" x14ac:dyDescent="0.35"/>
    <row r="370" s="68" customFormat="1" ht="10.5" x14ac:dyDescent="0.35"/>
    <row r="371" s="68" customFormat="1" ht="10.5" x14ac:dyDescent="0.35"/>
    <row r="372" s="68" customFormat="1" ht="10.5" x14ac:dyDescent="0.35"/>
    <row r="373" s="68" customFormat="1" ht="10.5" x14ac:dyDescent="0.35"/>
    <row r="374" s="68" customFormat="1" ht="10.5" x14ac:dyDescent="0.35"/>
    <row r="375" s="68" customFormat="1" ht="10.5" x14ac:dyDescent="0.35"/>
    <row r="376" s="68" customFormat="1" ht="10.5" x14ac:dyDescent="0.35"/>
    <row r="377" s="68" customFormat="1" ht="10.5" x14ac:dyDescent="0.35"/>
    <row r="378" s="68" customFormat="1" ht="10.5" x14ac:dyDescent="0.35"/>
    <row r="379" s="68" customFormat="1" ht="10.5" x14ac:dyDescent="0.35"/>
    <row r="380" s="68" customFormat="1" ht="10.5" x14ac:dyDescent="0.35"/>
    <row r="381" s="68" customFormat="1" ht="10.5" x14ac:dyDescent="0.35"/>
    <row r="382" s="68" customFormat="1" ht="10.5" x14ac:dyDescent="0.35"/>
    <row r="383" s="68" customFormat="1" ht="10.5" x14ac:dyDescent="0.35"/>
    <row r="384" s="68" customFormat="1" ht="10.5" x14ac:dyDescent="0.35"/>
    <row r="385" s="68" customFormat="1" ht="10.5" x14ac:dyDescent="0.35"/>
    <row r="386" s="68" customFormat="1" ht="10.5" x14ac:dyDescent="0.35"/>
    <row r="387" s="68" customFormat="1" ht="10.5" x14ac:dyDescent="0.35"/>
    <row r="388" s="68" customFormat="1" ht="10.5" x14ac:dyDescent="0.35"/>
    <row r="389" s="68" customFormat="1" ht="10.5" x14ac:dyDescent="0.35"/>
    <row r="390" s="68" customFormat="1" ht="10.5" x14ac:dyDescent="0.35"/>
    <row r="391" s="68" customFormat="1" ht="10.5" x14ac:dyDescent="0.35"/>
    <row r="392" s="68" customFormat="1" ht="10.5" x14ac:dyDescent="0.35"/>
    <row r="393" s="68" customFormat="1" ht="10.5" x14ac:dyDescent="0.35"/>
    <row r="394" s="68" customFormat="1" ht="10.5" x14ac:dyDescent="0.35"/>
    <row r="395" s="68" customFormat="1" ht="10.5" x14ac:dyDescent="0.35"/>
    <row r="396" s="68" customFormat="1" ht="10.5" x14ac:dyDescent="0.35"/>
    <row r="397" s="68" customFormat="1" ht="10.5" x14ac:dyDescent="0.35"/>
    <row r="398" s="68" customFormat="1" ht="10.5" x14ac:dyDescent="0.35"/>
    <row r="399" s="68" customFormat="1" ht="10.5" x14ac:dyDescent="0.35"/>
    <row r="400" s="68" customFormat="1" ht="10.5" x14ac:dyDescent="0.35"/>
    <row r="401" s="68" customFormat="1" ht="10.5" x14ac:dyDescent="0.35"/>
    <row r="402" s="68" customFormat="1" ht="10.5" x14ac:dyDescent="0.35"/>
    <row r="403" s="68" customFormat="1" ht="10.5" x14ac:dyDescent="0.35"/>
    <row r="404" s="68" customFormat="1" ht="10.5" x14ac:dyDescent="0.35"/>
    <row r="405" s="68" customFormat="1" ht="10.5" x14ac:dyDescent="0.35"/>
    <row r="406" s="68" customFormat="1" ht="10.5" x14ac:dyDescent="0.35"/>
    <row r="407" s="68" customFormat="1" ht="10.5" x14ac:dyDescent="0.35"/>
    <row r="408" s="68" customFormat="1" ht="10.5" x14ac:dyDescent="0.35"/>
    <row r="409" s="68" customFormat="1" ht="10.5" x14ac:dyDescent="0.35"/>
    <row r="410" s="68" customFormat="1" ht="10.5" x14ac:dyDescent="0.35"/>
    <row r="411" s="68" customFormat="1" ht="10.5" x14ac:dyDescent="0.35"/>
    <row r="412" s="68" customFormat="1" ht="10.5" x14ac:dyDescent="0.35"/>
    <row r="413" s="68" customFormat="1" ht="10.5" x14ac:dyDescent="0.35"/>
    <row r="414" s="68" customFormat="1" ht="10.5" x14ac:dyDescent="0.35"/>
    <row r="415" s="68" customFormat="1" ht="10.5" x14ac:dyDescent="0.35"/>
    <row r="416" s="68" customFormat="1" ht="10.5" x14ac:dyDescent="0.35"/>
    <row r="417" s="68" customFormat="1" ht="10.5" x14ac:dyDescent="0.35"/>
    <row r="418" s="68" customFormat="1" ht="10.5" x14ac:dyDescent="0.35"/>
    <row r="419" s="68" customFormat="1" ht="10.5" x14ac:dyDescent="0.35"/>
    <row r="420" s="68" customFormat="1" ht="10.5" x14ac:dyDescent="0.35"/>
    <row r="421" s="68" customFormat="1" ht="10.5" x14ac:dyDescent="0.35"/>
    <row r="422" s="68" customFormat="1" ht="10.5" x14ac:dyDescent="0.35"/>
    <row r="423" s="68" customFormat="1" ht="10.5" x14ac:dyDescent="0.35"/>
    <row r="424" s="68" customFormat="1" ht="10.5" x14ac:dyDescent="0.35"/>
    <row r="425" s="68" customFormat="1" ht="10.5" x14ac:dyDescent="0.35"/>
    <row r="426" s="68" customFormat="1" ht="10.5" x14ac:dyDescent="0.35"/>
    <row r="427" s="68" customFormat="1" ht="10.5" x14ac:dyDescent="0.35"/>
    <row r="428" s="68" customFormat="1" ht="10.5" x14ac:dyDescent="0.35"/>
    <row r="429" s="68" customFormat="1" ht="10.5" x14ac:dyDescent="0.35"/>
    <row r="430" s="68" customFormat="1" ht="10.5" x14ac:dyDescent="0.35"/>
    <row r="431" s="68" customFormat="1" ht="10.5" x14ac:dyDescent="0.35"/>
    <row r="432" s="68" customFormat="1" ht="10.5" x14ac:dyDescent="0.35"/>
    <row r="433" s="68" customFormat="1" ht="10.5" x14ac:dyDescent="0.35"/>
    <row r="434" s="68" customFormat="1" ht="10.5" x14ac:dyDescent="0.35"/>
    <row r="435" s="68" customFormat="1" ht="10.5" x14ac:dyDescent="0.35"/>
    <row r="436" s="68" customFormat="1" ht="10.5" x14ac:dyDescent="0.35"/>
    <row r="437" s="68" customFormat="1" ht="10.5" x14ac:dyDescent="0.35"/>
    <row r="438" s="68" customFormat="1" ht="10.5" x14ac:dyDescent="0.35"/>
    <row r="439" s="68" customFormat="1" ht="10.5" x14ac:dyDescent="0.35"/>
    <row r="440" s="68" customFormat="1" ht="10.5" x14ac:dyDescent="0.35"/>
    <row r="441" s="68" customFormat="1" ht="10.5" x14ac:dyDescent="0.35"/>
    <row r="442" s="68" customFormat="1" ht="10.5" x14ac:dyDescent="0.35"/>
    <row r="443" s="68" customFormat="1" ht="10.5" x14ac:dyDescent="0.35"/>
    <row r="444" s="68" customFormat="1" ht="10.5" x14ac:dyDescent="0.35"/>
    <row r="445" s="68" customFormat="1" ht="10.5" x14ac:dyDescent="0.35"/>
    <row r="446" s="68" customFormat="1" ht="10.5" x14ac:dyDescent="0.35"/>
    <row r="447" s="68" customFormat="1" ht="10.5" x14ac:dyDescent="0.35"/>
    <row r="448" s="68" customFormat="1" ht="10.5" x14ac:dyDescent="0.35"/>
    <row r="449" s="68" customFormat="1" ht="10.5" x14ac:dyDescent="0.35"/>
    <row r="450" s="68" customFormat="1" ht="10.5" x14ac:dyDescent="0.35"/>
    <row r="451" s="68" customFormat="1" ht="10.5" x14ac:dyDescent="0.35"/>
    <row r="452" s="68" customFormat="1" ht="10.5" x14ac:dyDescent="0.35"/>
    <row r="453" s="68" customFormat="1" ht="10.5" x14ac:dyDescent="0.35"/>
    <row r="454" s="68" customFormat="1" ht="10.5" x14ac:dyDescent="0.35"/>
    <row r="455" s="68" customFormat="1" ht="10.5" x14ac:dyDescent="0.35"/>
    <row r="456" s="68" customFormat="1" ht="10.5" x14ac:dyDescent="0.35"/>
    <row r="457" s="68" customFormat="1" ht="10.5" x14ac:dyDescent="0.35"/>
    <row r="458" s="68" customFormat="1" ht="10.5" x14ac:dyDescent="0.35"/>
    <row r="459" s="68" customFormat="1" ht="10.5" x14ac:dyDescent="0.35"/>
    <row r="460" s="68" customFormat="1" ht="10.5" x14ac:dyDescent="0.35"/>
    <row r="461" s="68" customFormat="1" ht="10.5" x14ac:dyDescent="0.35"/>
    <row r="462" s="68" customFormat="1" ht="10.5" x14ac:dyDescent="0.35"/>
    <row r="463" s="68" customFormat="1" ht="10.5" x14ac:dyDescent="0.35"/>
    <row r="464" s="68" customFormat="1" ht="10.5" x14ac:dyDescent="0.35"/>
    <row r="465" s="68" customFormat="1" ht="10.5" x14ac:dyDescent="0.35"/>
    <row r="466" s="68" customFormat="1" ht="10.5" x14ac:dyDescent="0.35"/>
    <row r="467" s="68" customFormat="1" ht="10.5" x14ac:dyDescent="0.35"/>
    <row r="468" s="68" customFormat="1" ht="10.5" x14ac:dyDescent="0.35"/>
    <row r="469" s="68" customFormat="1" ht="10.5" x14ac:dyDescent="0.35"/>
    <row r="470" s="68" customFormat="1" ht="10.5" x14ac:dyDescent="0.35"/>
    <row r="471" s="68" customFormat="1" ht="10.5" x14ac:dyDescent="0.35"/>
    <row r="472" s="68" customFormat="1" ht="10.5" x14ac:dyDescent="0.35"/>
    <row r="473" s="68" customFormat="1" ht="10.5" x14ac:dyDescent="0.35"/>
    <row r="474" s="68" customFormat="1" ht="10.5" x14ac:dyDescent="0.35"/>
    <row r="475" s="68" customFormat="1" ht="10.5" x14ac:dyDescent="0.35"/>
    <row r="476" s="68" customFormat="1" ht="10.5" x14ac:dyDescent="0.35"/>
    <row r="477" s="68" customFormat="1" ht="10.5" x14ac:dyDescent="0.35"/>
    <row r="478" s="68" customFormat="1" ht="10.5" x14ac:dyDescent="0.35"/>
    <row r="479" s="68" customFormat="1" ht="10.5" x14ac:dyDescent="0.35"/>
    <row r="480" s="68" customFormat="1" ht="10.5" x14ac:dyDescent="0.35"/>
    <row r="481" s="68" customFormat="1" ht="10.5" x14ac:dyDescent="0.35"/>
    <row r="482" s="68" customFormat="1" ht="10.5" x14ac:dyDescent="0.35"/>
    <row r="483" s="68" customFormat="1" ht="10.5" x14ac:dyDescent="0.35"/>
    <row r="484" s="68" customFormat="1" ht="10.5" x14ac:dyDescent="0.35"/>
    <row r="485" s="68" customFormat="1" ht="10.5" x14ac:dyDescent="0.35"/>
    <row r="486" s="68" customFormat="1" ht="10.5" x14ac:dyDescent="0.35"/>
    <row r="487" s="68" customFormat="1" ht="10.5" x14ac:dyDescent="0.35"/>
    <row r="488" s="68" customFormat="1" ht="10.5" x14ac:dyDescent="0.35"/>
    <row r="489" s="68" customFormat="1" ht="10.5" x14ac:dyDescent="0.35"/>
    <row r="490" s="68" customFormat="1" ht="10.5" x14ac:dyDescent="0.35"/>
    <row r="491" s="68" customFormat="1" ht="10.5" x14ac:dyDescent="0.35"/>
    <row r="492" s="68" customFormat="1" ht="10.5" x14ac:dyDescent="0.35"/>
    <row r="493" s="68" customFormat="1" ht="10.5" x14ac:dyDescent="0.35"/>
    <row r="494" s="68" customFormat="1" ht="10.5" x14ac:dyDescent="0.35"/>
    <row r="495" s="68" customFormat="1" ht="10.5" x14ac:dyDescent="0.35"/>
    <row r="496" s="68" customFormat="1" ht="10.5" x14ac:dyDescent="0.35"/>
    <row r="497" s="68" customFormat="1" ht="10.5" x14ac:dyDescent="0.35"/>
    <row r="498" s="68" customFormat="1" ht="10.5" x14ac:dyDescent="0.35"/>
    <row r="499" s="68" customFormat="1" ht="10.5" x14ac:dyDescent="0.35"/>
    <row r="500" s="68" customFormat="1" ht="10.5" x14ac:dyDescent="0.35"/>
    <row r="501" s="68" customFormat="1" ht="10.5" x14ac:dyDescent="0.35"/>
    <row r="502" s="68" customFormat="1" ht="10.5" x14ac:dyDescent="0.35"/>
    <row r="503" s="68" customFormat="1" ht="10.5" x14ac:dyDescent="0.35"/>
    <row r="504" s="68" customFormat="1" ht="10.5" x14ac:dyDescent="0.35"/>
    <row r="505" s="68" customFormat="1" ht="10.5" x14ac:dyDescent="0.35"/>
    <row r="506" s="68" customFormat="1" ht="10.5" x14ac:dyDescent="0.35"/>
    <row r="507" s="68" customFormat="1" ht="10.5" x14ac:dyDescent="0.35"/>
    <row r="508" s="68" customFormat="1" ht="10.5" x14ac:dyDescent="0.35"/>
    <row r="509" s="68" customFormat="1" ht="10.5" x14ac:dyDescent="0.35"/>
    <row r="510" s="68" customFormat="1" ht="10.5" x14ac:dyDescent="0.35"/>
    <row r="511" s="68" customFormat="1" ht="10.5" x14ac:dyDescent="0.35"/>
    <row r="512" s="68" customFormat="1" ht="10.5" x14ac:dyDescent="0.35"/>
    <row r="513" s="68" customFormat="1" ht="10.5" x14ac:dyDescent="0.35"/>
    <row r="514" s="68" customFormat="1" ht="10.5" x14ac:dyDescent="0.35"/>
    <row r="515" s="68" customFormat="1" ht="10.5" x14ac:dyDescent="0.35"/>
    <row r="516" s="68" customFormat="1" ht="10.5" x14ac:dyDescent="0.35"/>
    <row r="517" s="68" customFormat="1" ht="10.5" x14ac:dyDescent="0.35"/>
    <row r="518" s="68" customFormat="1" ht="10.5" x14ac:dyDescent="0.35"/>
    <row r="519" s="68" customFormat="1" ht="10.5" x14ac:dyDescent="0.35"/>
    <row r="520" s="68" customFormat="1" ht="10.5" x14ac:dyDescent="0.35"/>
    <row r="521" s="68" customFormat="1" ht="10.5" x14ac:dyDescent="0.35"/>
    <row r="522" s="68" customFormat="1" ht="10.5" x14ac:dyDescent="0.35"/>
    <row r="523" s="68" customFormat="1" ht="10.5" x14ac:dyDescent="0.35"/>
    <row r="524" s="68" customFormat="1" ht="10.5" x14ac:dyDescent="0.35"/>
    <row r="525" s="68" customFormat="1" ht="10.5" x14ac:dyDescent="0.35"/>
    <row r="526" s="68" customFormat="1" ht="10.5" x14ac:dyDescent="0.35"/>
    <row r="527" s="68" customFormat="1" ht="10.5" x14ac:dyDescent="0.35"/>
    <row r="528" s="68" customFormat="1" ht="10.5" x14ac:dyDescent="0.35"/>
    <row r="529" s="68" customFormat="1" ht="10.5" x14ac:dyDescent="0.35"/>
    <row r="530" s="68" customFormat="1" ht="10.5" x14ac:dyDescent="0.35"/>
    <row r="531" s="68" customFormat="1" ht="10.5" x14ac:dyDescent="0.35"/>
    <row r="532" s="68" customFormat="1" ht="10.5" x14ac:dyDescent="0.35"/>
    <row r="533" s="68" customFormat="1" ht="10.5" x14ac:dyDescent="0.35"/>
    <row r="534" s="68" customFormat="1" ht="10.5" x14ac:dyDescent="0.35"/>
    <row r="535" s="68" customFormat="1" ht="10.5" x14ac:dyDescent="0.35"/>
    <row r="536" s="68" customFormat="1" ht="10.5" x14ac:dyDescent="0.35"/>
    <row r="537" s="68" customFormat="1" ht="10.5" x14ac:dyDescent="0.35"/>
    <row r="538" s="68" customFormat="1" ht="10.5" x14ac:dyDescent="0.35"/>
    <row r="539" s="68" customFormat="1" ht="10.5" x14ac:dyDescent="0.35"/>
    <row r="540" s="68" customFormat="1" ht="10.5" x14ac:dyDescent="0.35"/>
    <row r="541" s="68" customFormat="1" ht="10.5" x14ac:dyDescent="0.35"/>
    <row r="542" s="68" customFormat="1" ht="10.5" x14ac:dyDescent="0.35"/>
    <row r="543" s="68" customFormat="1" ht="10.5" x14ac:dyDescent="0.35"/>
    <row r="544" s="68" customFormat="1" ht="10.5" x14ac:dyDescent="0.35"/>
    <row r="545" s="68" customFormat="1" ht="10.5" x14ac:dyDescent="0.35"/>
    <row r="546" s="68" customFormat="1" ht="10.5" x14ac:dyDescent="0.35"/>
    <row r="547" s="68" customFormat="1" ht="10.5" x14ac:dyDescent="0.35"/>
    <row r="548" s="68" customFormat="1" ht="10.5" x14ac:dyDescent="0.35"/>
    <row r="549" s="68" customFormat="1" ht="10.5" x14ac:dyDescent="0.35"/>
    <row r="550" s="68" customFormat="1" ht="10.5" x14ac:dyDescent="0.35"/>
    <row r="551" s="68" customFormat="1" ht="10.5" x14ac:dyDescent="0.35"/>
    <row r="552" s="68" customFormat="1" ht="10.5" x14ac:dyDescent="0.35"/>
    <row r="553" s="68" customFormat="1" ht="10.5" x14ac:dyDescent="0.35"/>
    <row r="554" s="68" customFormat="1" ht="10.5" x14ac:dyDescent="0.35"/>
    <row r="555" s="68" customFormat="1" ht="10.5" x14ac:dyDescent="0.35"/>
    <row r="556" s="68" customFormat="1" ht="10.5" x14ac:dyDescent="0.35"/>
    <row r="557" s="68" customFormat="1" ht="10.5" x14ac:dyDescent="0.35"/>
    <row r="558" s="68" customFormat="1" ht="10.5" x14ac:dyDescent="0.35"/>
    <row r="559" s="68" customFormat="1" ht="10.5" x14ac:dyDescent="0.35"/>
    <row r="560" s="68" customFormat="1" ht="10.5" x14ac:dyDescent="0.35"/>
    <row r="561" s="68" customFormat="1" ht="10.5" x14ac:dyDescent="0.35"/>
    <row r="562" s="68" customFormat="1" ht="10.5" x14ac:dyDescent="0.35"/>
    <row r="563" s="68" customFormat="1" ht="10.5" x14ac:dyDescent="0.35"/>
    <row r="564" s="68" customFormat="1" ht="10.5" x14ac:dyDescent="0.35"/>
    <row r="565" s="68" customFormat="1" ht="10.5" x14ac:dyDescent="0.35"/>
    <row r="566" s="68" customFormat="1" ht="10.5" x14ac:dyDescent="0.35"/>
    <row r="567" s="68" customFormat="1" ht="10.5" x14ac:dyDescent="0.35"/>
    <row r="568" s="68" customFormat="1" ht="10.5" x14ac:dyDescent="0.35"/>
    <row r="569" s="68" customFormat="1" ht="10.5" x14ac:dyDescent="0.35"/>
    <row r="570" s="68" customFormat="1" ht="10.5" x14ac:dyDescent="0.35"/>
    <row r="571" s="68" customFormat="1" ht="10.5" x14ac:dyDescent="0.35"/>
    <row r="572" s="68" customFormat="1" ht="10.5" x14ac:dyDescent="0.35"/>
    <row r="573" s="68" customFormat="1" ht="10.5" x14ac:dyDescent="0.35"/>
    <row r="574" s="68" customFormat="1" ht="10.5" x14ac:dyDescent="0.35"/>
    <row r="575" s="68" customFormat="1" ht="10.5" x14ac:dyDescent="0.35"/>
    <row r="576" s="68" customFormat="1" ht="10.5" x14ac:dyDescent="0.35"/>
    <row r="577" spans="1:6" s="68" customFormat="1" ht="10.5" x14ac:dyDescent="0.35"/>
    <row r="578" spans="1:6" s="68" customFormat="1" ht="10.5" x14ac:dyDescent="0.35"/>
    <row r="579" spans="1:6" s="68" customFormat="1" x14ac:dyDescent="0.35">
      <c r="A579" s="59"/>
      <c r="B579" s="59"/>
      <c r="C579" s="59"/>
      <c r="D579" s="59"/>
      <c r="E579" s="59"/>
      <c r="F579" s="59"/>
    </row>
    <row r="580" spans="1:6" s="68" customFormat="1" x14ac:dyDescent="0.35">
      <c r="A580" s="59"/>
      <c r="B580" s="59"/>
      <c r="C580" s="59"/>
      <c r="D580" s="59"/>
      <c r="E580" s="59"/>
      <c r="F580" s="59"/>
    </row>
    <row r="581" spans="1:6" s="68" customFormat="1" x14ac:dyDescent="0.35">
      <c r="A581" s="59"/>
      <c r="B581" s="59"/>
      <c r="C581" s="59"/>
      <c r="D581" s="59"/>
      <c r="E581" s="59"/>
      <c r="F581" s="59"/>
    </row>
    <row r="582" spans="1:6" s="68" customFormat="1" x14ac:dyDescent="0.35">
      <c r="A582" s="59"/>
      <c r="B582" s="59"/>
      <c r="C582" s="59"/>
      <c r="D582" s="59"/>
      <c r="E582" s="59"/>
      <c r="F582" s="59"/>
    </row>
    <row r="583" spans="1:6" s="68" customFormat="1" x14ac:dyDescent="0.35">
      <c r="A583" s="59"/>
      <c r="B583" s="59"/>
      <c r="C583" s="59"/>
      <c r="D583" s="59"/>
      <c r="E583" s="59"/>
      <c r="F583" s="59"/>
    </row>
    <row r="584" spans="1:6" s="68" customFormat="1" x14ac:dyDescent="0.35">
      <c r="A584" s="59"/>
      <c r="B584" s="59"/>
      <c r="C584" s="59"/>
      <c r="D584" s="59"/>
      <c r="E584" s="59"/>
      <c r="F584" s="59"/>
    </row>
    <row r="585" spans="1:6" s="68" customFormat="1" x14ac:dyDescent="0.35">
      <c r="A585" s="59"/>
      <c r="B585" s="59"/>
      <c r="C585" s="59"/>
      <c r="D585" s="59"/>
      <c r="E585" s="59"/>
      <c r="F585" s="59"/>
    </row>
    <row r="586" spans="1:6" s="68" customFormat="1" x14ac:dyDescent="0.35">
      <c r="A586" s="59"/>
      <c r="B586" s="59"/>
      <c r="C586" s="59"/>
      <c r="D586" s="59"/>
      <c r="E586" s="59"/>
      <c r="F586" s="59"/>
    </row>
    <row r="587" spans="1:6" s="68" customFormat="1" x14ac:dyDescent="0.35">
      <c r="A587" s="59"/>
      <c r="B587" s="59"/>
      <c r="C587" s="59"/>
      <c r="D587" s="59"/>
      <c r="E587" s="59"/>
      <c r="F587" s="59"/>
    </row>
    <row r="588" spans="1:6" s="68" customFormat="1" x14ac:dyDescent="0.35">
      <c r="A588" s="59"/>
      <c r="B588" s="59"/>
      <c r="C588" s="59"/>
      <c r="D588" s="59"/>
      <c r="E588" s="59"/>
      <c r="F588" s="59"/>
    </row>
    <row r="589" spans="1:6" s="68" customFormat="1" x14ac:dyDescent="0.35">
      <c r="A589" s="59"/>
      <c r="B589" s="59"/>
      <c r="C589" s="59"/>
      <c r="D589" s="59"/>
      <c r="E589" s="59"/>
      <c r="F589" s="59"/>
    </row>
    <row r="590" spans="1:6" s="68" customFormat="1" x14ac:dyDescent="0.35">
      <c r="A590" s="59"/>
      <c r="B590" s="59"/>
      <c r="C590" s="59"/>
      <c r="D590" s="59"/>
      <c r="E590" s="59"/>
      <c r="F590" s="59"/>
    </row>
    <row r="591" spans="1:6" s="68" customFormat="1" x14ac:dyDescent="0.35">
      <c r="A591" s="59"/>
      <c r="B591" s="59"/>
      <c r="C591" s="59"/>
      <c r="D591" s="59"/>
      <c r="E591" s="59"/>
      <c r="F591" s="59"/>
    </row>
    <row r="592" spans="1:6" s="68" customFormat="1" x14ac:dyDescent="0.35">
      <c r="A592" s="59"/>
      <c r="B592" s="59"/>
      <c r="C592" s="59"/>
      <c r="D592" s="59"/>
      <c r="E592" s="59"/>
      <c r="F592" s="59"/>
    </row>
    <row r="593" spans="1:6" s="68" customFormat="1" x14ac:dyDescent="0.35">
      <c r="A593" s="59"/>
      <c r="B593" s="59"/>
      <c r="C593" s="59"/>
      <c r="D593" s="59"/>
      <c r="E593" s="59"/>
      <c r="F593" s="59"/>
    </row>
    <row r="594" spans="1:6" s="68" customFormat="1" x14ac:dyDescent="0.35">
      <c r="A594" s="59"/>
      <c r="B594" s="59"/>
      <c r="C594" s="59"/>
      <c r="D594" s="59"/>
      <c r="E594" s="59"/>
      <c r="F594" s="59"/>
    </row>
  </sheetData>
  <sheetProtection sheet="1" objects="1" scenarios="1"/>
  <mergeCells count="165">
    <mergeCell ref="A1:F1"/>
    <mergeCell ref="A2:B2"/>
    <mergeCell ref="C2:F2"/>
    <mergeCell ref="A3:B3"/>
    <mergeCell ref="C3:F3"/>
    <mergeCell ref="A4:B4"/>
    <mergeCell ref="C4:F4"/>
    <mergeCell ref="A8:B8"/>
    <mergeCell ref="C8:D8"/>
    <mergeCell ref="A9:B9"/>
    <mergeCell ref="C9:F9"/>
    <mergeCell ref="A10:B10"/>
    <mergeCell ref="C10:F10"/>
    <mergeCell ref="A5:B5"/>
    <mergeCell ref="C5:F5"/>
    <mergeCell ref="A6:B6"/>
    <mergeCell ref="C6:F6"/>
    <mergeCell ref="A7:B7"/>
    <mergeCell ref="C7:F7"/>
    <mergeCell ref="A14:B14"/>
    <mergeCell ref="C14:F14"/>
    <mergeCell ref="A15:B15"/>
    <mergeCell ref="C15:F15"/>
    <mergeCell ref="A16:B16"/>
    <mergeCell ref="C16:F16"/>
    <mergeCell ref="A11:B11"/>
    <mergeCell ref="C11:F11"/>
    <mergeCell ref="A12:B12"/>
    <mergeCell ref="C12:F12"/>
    <mergeCell ref="A13:B13"/>
    <mergeCell ref="C13:F13"/>
    <mergeCell ref="A21:F21"/>
    <mergeCell ref="A22:B22"/>
    <mergeCell ref="A23:B23"/>
    <mergeCell ref="A24:F24"/>
    <mergeCell ref="A25:F25"/>
    <mergeCell ref="A26:E26"/>
    <mergeCell ref="A17:B17"/>
    <mergeCell ref="C17:F17"/>
    <mergeCell ref="A18:B18"/>
    <mergeCell ref="C18:F18"/>
    <mergeCell ref="A19:B19"/>
    <mergeCell ref="D19:F19"/>
    <mergeCell ref="B37:D37"/>
    <mergeCell ref="B38:D38"/>
    <mergeCell ref="B39:D39"/>
    <mergeCell ref="B40:D40"/>
    <mergeCell ref="A41:D41"/>
    <mergeCell ref="A42:F42"/>
    <mergeCell ref="A27:E27"/>
    <mergeCell ref="A28:E28"/>
    <mergeCell ref="A30:F30"/>
    <mergeCell ref="A31:F31"/>
    <mergeCell ref="A32:F32"/>
    <mergeCell ref="B33:D33"/>
    <mergeCell ref="F33:F41"/>
    <mergeCell ref="B34:D34"/>
    <mergeCell ref="B35:D35"/>
    <mergeCell ref="B36:D36"/>
    <mergeCell ref="A48:F48"/>
    <mergeCell ref="A49:F49"/>
    <mergeCell ref="B50:D50"/>
    <mergeCell ref="F50:F52"/>
    <mergeCell ref="B51:D51"/>
    <mergeCell ref="A52:D52"/>
    <mergeCell ref="A43:F43"/>
    <mergeCell ref="B44:D44"/>
    <mergeCell ref="F44:F47"/>
    <mergeCell ref="B45:D45"/>
    <mergeCell ref="B46:D46"/>
    <mergeCell ref="A47:D47"/>
    <mergeCell ref="A62:D62"/>
    <mergeCell ref="A63:F63"/>
    <mergeCell ref="A64:F64"/>
    <mergeCell ref="B65:D65"/>
    <mergeCell ref="F65:F68"/>
    <mergeCell ref="B66:D66"/>
    <mergeCell ref="B67:D67"/>
    <mergeCell ref="A68:D68"/>
    <mergeCell ref="A53:F53"/>
    <mergeCell ref="A54:F54"/>
    <mergeCell ref="B55:D55"/>
    <mergeCell ref="F55:F62"/>
    <mergeCell ref="B56:D56"/>
    <mergeCell ref="B57:D57"/>
    <mergeCell ref="B58:D58"/>
    <mergeCell ref="B59:D59"/>
    <mergeCell ref="B60:D60"/>
    <mergeCell ref="B61:D61"/>
    <mergeCell ref="A69:F69"/>
    <mergeCell ref="A70:F70"/>
    <mergeCell ref="B71:D71"/>
    <mergeCell ref="F71:F77"/>
    <mergeCell ref="B72:D72"/>
    <mergeCell ref="B73:D73"/>
    <mergeCell ref="B74:D74"/>
    <mergeCell ref="B75:D75"/>
    <mergeCell ref="B76:D76"/>
    <mergeCell ref="A77:D77"/>
    <mergeCell ref="C84:C85"/>
    <mergeCell ref="A86:F86"/>
    <mergeCell ref="B87:E87"/>
    <mergeCell ref="B88:E88"/>
    <mergeCell ref="B89:E89"/>
    <mergeCell ref="A90:F90"/>
    <mergeCell ref="A78:F78"/>
    <mergeCell ref="A79:D79"/>
    <mergeCell ref="A80:F80"/>
    <mergeCell ref="A81:E81"/>
    <mergeCell ref="A82:E82"/>
    <mergeCell ref="B83:C83"/>
    <mergeCell ref="A97:E97"/>
    <mergeCell ref="B98:E98"/>
    <mergeCell ref="B99:E99"/>
    <mergeCell ref="A100:E100"/>
    <mergeCell ref="A101:F101"/>
    <mergeCell ref="A102:E102"/>
    <mergeCell ref="B91:E91"/>
    <mergeCell ref="B92:C92"/>
    <mergeCell ref="B93:E93"/>
    <mergeCell ref="B94:E94"/>
    <mergeCell ref="A95:E95"/>
    <mergeCell ref="A96:F96"/>
    <mergeCell ref="A103:F103"/>
    <mergeCell ref="A104:D104"/>
    <mergeCell ref="B105:D105"/>
    <mergeCell ref="F105:F110"/>
    <mergeCell ref="B106:D106"/>
    <mergeCell ref="B107:D107"/>
    <mergeCell ref="B108:D108"/>
    <mergeCell ref="B109:D109"/>
    <mergeCell ref="B110:D110"/>
    <mergeCell ref="A117:E117"/>
    <mergeCell ref="A118:F118"/>
    <mergeCell ref="A119:F119"/>
    <mergeCell ref="B120:E120"/>
    <mergeCell ref="B121:D121"/>
    <mergeCell ref="B122:D122"/>
    <mergeCell ref="A111:D111"/>
    <mergeCell ref="A112:F112"/>
    <mergeCell ref="A113:E113"/>
    <mergeCell ref="A114:F114"/>
    <mergeCell ref="A115:E115"/>
    <mergeCell ref="A116:F116"/>
    <mergeCell ref="B130:E130"/>
    <mergeCell ref="B131:E131"/>
    <mergeCell ref="B132:E132"/>
    <mergeCell ref="B133:E133"/>
    <mergeCell ref="A134:E134"/>
    <mergeCell ref="B135:C135"/>
    <mergeCell ref="B123:D123"/>
    <mergeCell ref="B124:C124"/>
    <mergeCell ref="B125:D125"/>
    <mergeCell ref="A127:F127"/>
    <mergeCell ref="A128:F128"/>
    <mergeCell ref="B129:E129"/>
    <mergeCell ref="A145:F145"/>
    <mergeCell ref="A146:F146"/>
    <mergeCell ref="A147:F147"/>
    <mergeCell ref="A136:E136"/>
    <mergeCell ref="A140:F140"/>
    <mergeCell ref="A141:F141"/>
    <mergeCell ref="A142:F142"/>
    <mergeCell ref="A143:F143"/>
    <mergeCell ref="A144:F144"/>
  </mergeCells>
  <conditionalFormatting sqref="E92">
    <cfRule type="cellIs" dxfId="96" priority="55" operator="greaterThan">
      <formula>0</formula>
    </cfRule>
  </conditionalFormatting>
  <conditionalFormatting sqref="D84">
    <cfRule type="cellIs" dxfId="95" priority="61" operator="greaterThan">
      <formula>0</formula>
    </cfRule>
  </conditionalFormatting>
  <conditionalFormatting sqref="D85">
    <cfRule type="cellIs" dxfId="94" priority="60" operator="greaterThan">
      <formula>0</formula>
    </cfRule>
  </conditionalFormatting>
  <conditionalFormatting sqref="E84">
    <cfRule type="cellIs" dxfId="93" priority="59" operator="greaterThan">
      <formula>0</formula>
    </cfRule>
  </conditionalFormatting>
  <conditionalFormatting sqref="F87:F88">
    <cfRule type="cellIs" dxfId="92" priority="58" operator="greaterThan">
      <formula>0</formula>
    </cfRule>
  </conditionalFormatting>
  <conditionalFormatting sqref="F89">
    <cfRule type="cellIs" dxfId="91" priority="57" operator="greaterThan">
      <formula>0</formula>
    </cfRule>
  </conditionalFormatting>
  <conditionalFormatting sqref="F91">
    <cfRule type="cellIs" dxfId="90" priority="56" operator="greaterThan">
      <formula>0</formula>
    </cfRule>
  </conditionalFormatting>
  <conditionalFormatting sqref="F93">
    <cfRule type="cellIs" dxfId="89" priority="54" operator="greaterThan">
      <formula>0</formula>
    </cfRule>
  </conditionalFormatting>
  <conditionalFormatting sqref="F94">
    <cfRule type="cellIs" dxfId="88" priority="53" operator="greaterThan">
      <formula>0</formula>
    </cfRule>
  </conditionalFormatting>
  <conditionalFormatting sqref="F99">
    <cfRule type="cellIs" dxfId="87" priority="51" operator="greaterThan">
      <formula>0</formula>
    </cfRule>
  </conditionalFormatting>
  <conditionalFormatting sqref="F98">
    <cfRule type="cellIs" dxfId="86" priority="52" operator="greaterThan">
      <formula>0</formula>
    </cfRule>
  </conditionalFormatting>
  <conditionalFormatting sqref="E50">
    <cfRule type="cellIs" dxfId="85" priority="50" operator="greaterThan">
      <formula>0</formula>
    </cfRule>
  </conditionalFormatting>
  <conditionalFormatting sqref="E73">
    <cfRule type="cellIs" dxfId="84" priority="49" operator="greaterThan">
      <formula>0</formula>
    </cfRule>
  </conditionalFormatting>
  <conditionalFormatting sqref="C17">
    <cfRule type="cellIs" dxfId="83" priority="47" operator="greaterThan">
      <formula>0</formula>
    </cfRule>
  </conditionalFormatting>
  <conditionalFormatting sqref="C18">
    <cfRule type="cellIs" dxfId="82" priority="48" operator="greaterThan">
      <formula>0</formula>
    </cfRule>
  </conditionalFormatting>
  <conditionalFormatting sqref="A23">
    <cfRule type="notContainsBlanks" dxfId="81" priority="45">
      <formula>LEN(TRIM(A23))&gt;0</formula>
    </cfRule>
  </conditionalFormatting>
  <conditionalFormatting sqref="F23">
    <cfRule type="cellIs" dxfId="80" priority="44" operator="greaterThan">
      <formula>0</formula>
    </cfRule>
  </conditionalFormatting>
  <conditionalFormatting sqref="F27:F28">
    <cfRule type="cellIs" dxfId="79" priority="39" operator="greaterThan">
      <formula>0</formula>
    </cfRule>
  </conditionalFormatting>
  <conditionalFormatting sqref="F23 F27:F28 E50 E73 E84 D84:D85 F87:F89 F91 E92 F93:F94 F98:F99">
    <cfRule type="cellIs" dxfId="78" priority="34" operator="equal">
      <formula>0</formula>
    </cfRule>
  </conditionalFormatting>
  <conditionalFormatting sqref="A23">
    <cfRule type="containsBlanks" dxfId="77" priority="33">
      <formula>LEN(TRIM(A23))=0</formula>
    </cfRule>
  </conditionalFormatting>
  <conditionalFormatting sqref="F23:G23 F27:F28 E50 E73 E84 D84:D85 F87:F89 F91 E92 F93:F94 F98:F99">
    <cfRule type="cellIs" dxfId="76" priority="32" operator="greaterThan">
      <formula>0</formula>
    </cfRule>
  </conditionalFormatting>
  <conditionalFormatting sqref="C19">
    <cfRule type="cellIs" dxfId="75" priority="29" operator="greaterThan">
      <formula>0</formula>
    </cfRule>
  </conditionalFormatting>
  <conditionalFormatting sqref="C19">
    <cfRule type="cellIs" dxfId="74" priority="27" operator="greaterThan">
      <formula>0</formula>
    </cfRule>
  </conditionalFormatting>
  <conditionalFormatting sqref="C19">
    <cfRule type="cellIs" dxfId="73" priority="28" operator="equal">
      <formula>0</formula>
    </cfRule>
  </conditionalFormatting>
  <conditionalFormatting sqref="C2">
    <cfRule type="notContainsBlanks" dxfId="72" priority="26">
      <formula>LEN(TRIM(C2))&gt;0</formula>
    </cfRule>
  </conditionalFormatting>
  <conditionalFormatting sqref="C3:C7">
    <cfRule type="notContainsBlanks" dxfId="71" priority="25">
      <formula>LEN(TRIM(C3))&gt;0</formula>
    </cfRule>
  </conditionalFormatting>
  <conditionalFormatting sqref="C2:F7">
    <cfRule type="notContainsBlanks" dxfId="70" priority="23">
      <formula>LEN(TRIM(C2))&gt;0</formula>
    </cfRule>
    <cfRule type="containsBlanks" dxfId="69" priority="24">
      <formula>LEN(TRIM(C2))=0</formula>
    </cfRule>
  </conditionalFormatting>
  <conditionalFormatting sqref="C8">
    <cfRule type="cellIs" dxfId="68" priority="22" operator="greaterThan">
      <formula>0</formula>
    </cfRule>
  </conditionalFormatting>
  <conditionalFormatting sqref="F8">
    <cfRule type="cellIs" dxfId="67" priority="21" operator="greaterThan">
      <formula>0</formula>
    </cfRule>
  </conditionalFormatting>
  <conditionalFormatting sqref="C9">
    <cfRule type="cellIs" dxfId="66" priority="12" operator="greaterThan">
      <formula>0</formula>
    </cfRule>
  </conditionalFormatting>
  <conditionalFormatting sqref="C12">
    <cfRule type="cellIs" dxfId="65" priority="11" operator="greaterThan">
      <formula>0</formula>
    </cfRule>
  </conditionalFormatting>
  <conditionalFormatting sqref="C16">
    <cfRule type="cellIs" dxfId="64" priority="8" operator="greaterThan">
      <formula>0</formula>
    </cfRule>
  </conditionalFormatting>
  <conditionalFormatting sqref="C10:C11">
    <cfRule type="cellIs" dxfId="63" priority="10" operator="greaterThan">
      <formula>0</formula>
    </cfRule>
  </conditionalFormatting>
  <conditionalFormatting sqref="C15">
    <cfRule type="cellIs" dxfId="62" priority="9" operator="greaterThan">
      <formula>0</formula>
    </cfRule>
  </conditionalFormatting>
  <conditionalFormatting sqref="C12:F12">
    <cfRule type="notContainsBlanks" dxfId="61" priority="6">
      <formula>LEN(TRIM(C12))&gt;0</formula>
    </cfRule>
    <cfRule type="containsBlanks" dxfId="60" priority="7">
      <formula>LEN(TRIM(C12))=0</formula>
    </cfRule>
  </conditionalFormatting>
  <conditionalFormatting sqref="C9:F11 C15:F16">
    <cfRule type="cellIs" dxfId="59" priority="4" operator="greaterThan">
      <formula>0</formula>
    </cfRule>
    <cfRule type="cellIs" dxfId="58" priority="5" operator="equal">
      <formula>0</formula>
    </cfRule>
  </conditionalFormatting>
  <conditionalFormatting sqref="C13:C14">
    <cfRule type="cellIs" dxfId="57" priority="3" operator="greaterThan">
      <formula>0</formula>
    </cfRule>
  </conditionalFormatting>
  <conditionalFormatting sqref="C13:F14">
    <cfRule type="cellIs" dxfId="56" priority="1" operator="greaterThan">
      <formula>0</formula>
    </cfRule>
    <cfRule type="cellIs" dxfId="55" priority="2" operator="equal">
      <formula>0</formula>
    </cfRule>
  </conditionalFormatting>
  <dataValidations count="2">
    <dataValidation type="decimal" operator="greaterThanOrEqual" allowBlank="1" showInputMessage="1" showErrorMessage="1" sqref="D10:D11 D19 E11:F11 C9:C11 D14:F16 F87:F89 F91 D84:D85 E84 F93:F94 E92 E124 E73 C13:C19" xr:uid="{00000000-0002-0000-0100-000000000000}">
      <formula1>0</formula1>
    </dataValidation>
    <dataValidation type="list" showInputMessage="1" showErrorMessage="1" sqref="C12" xr:uid="{00000000-0002-0000-0100-000001000000}">
      <formula1>$H$2:$H$4</formula1>
    </dataValidation>
  </dataValidations>
  <pageMargins left="1.2204724409448819" right="0.43307086614173229" top="0.78740157480314965" bottom="0.31496062992125984" header="0.31496062992125984" footer="0.31496062992125984"/>
  <pageSetup paperSize="9" scale="72" orientation="portrait" r:id="rId1"/>
  <headerFooter>
    <oddHeader xml:space="preserve">&amp;C&amp;"-,Negrito"&amp;12PLANILHA DE COMPOSIÇÃO DE CUSTOS DE MÃO DE OBRA
</oddHeader>
    <oddFooter>&amp;R&amp;9&amp;P/&amp;N</oddFooter>
  </headerFooter>
  <rowBreaks count="2" manualBreakCount="2">
    <brk id="52" max="5" man="1"/>
    <brk id="118" max="5" man="1"/>
  </rowBreaks>
  <drawing r:id="rId2"/>
  <legacyDrawing r:id="rId3"/>
  <oleObjects>
    <mc:AlternateContent xmlns:mc="http://schemas.openxmlformats.org/markup-compatibility/2006">
      <mc:Choice Requires="x14">
        <oleObject progId="Equation.3" shapeId="7169" r:id="rId4">
          <objectPr defaultSize="0" autoPict="0" r:id="rId5">
            <anchor moveWithCells="1" sizeWithCells="1">
              <from>
                <xdr:col>2</xdr:col>
                <xdr:colOff>831850</xdr:colOff>
                <xdr:row>146</xdr:row>
                <xdr:rowOff>114300</xdr:rowOff>
              </from>
              <to>
                <xdr:col>3</xdr:col>
                <xdr:colOff>781050</xdr:colOff>
                <xdr:row>146</xdr:row>
                <xdr:rowOff>438150</xdr:rowOff>
              </to>
            </anchor>
          </objectPr>
        </oleObject>
      </mc:Choice>
      <mc:Fallback>
        <oleObject progId="Equation.3" shapeId="7169" r:id="rId4"/>
      </mc:Fallback>
    </mc:AlternateContent>
    <mc:AlternateContent xmlns:mc="http://schemas.openxmlformats.org/markup-compatibility/2006">
      <mc:Choice Requires="x14">
        <oleObject progId="Equation.3" shapeId="7170" r:id="rId6">
          <objectPr defaultSize="0" autoPict="0" r:id="rId7">
            <anchor moveWithCells="1" sizeWithCells="1">
              <from>
                <xdr:col>2</xdr:col>
                <xdr:colOff>850900</xdr:colOff>
                <xdr:row>145</xdr:row>
                <xdr:rowOff>133350</xdr:rowOff>
              </from>
              <to>
                <xdr:col>3</xdr:col>
                <xdr:colOff>755650</xdr:colOff>
                <xdr:row>145</xdr:row>
                <xdr:rowOff>450850</xdr:rowOff>
              </to>
            </anchor>
          </objectPr>
        </oleObject>
      </mc:Choice>
      <mc:Fallback>
        <oleObject progId="Equation.3" shapeId="7170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IJ594"/>
  <sheetViews>
    <sheetView tabSelected="1" zoomScaleNormal="100" workbookViewId="0">
      <selection activeCell="G16" sqref="G16"/>
    </sheetView>
  </sheetViews>
  <sheetFormatPr defaultColWidth="9.1796875" defaultRowHeight="14.5" x14ac:dyDescent="0.35"/>
  <cols>
    <col min="1" max="1" width="3.81640625" style="59" customWidth="1"/>
    <col min="2" max="2" width="44.6328125" style="59" customWidth="1"/>
    <col min="3" max="3" width="31.453125" style="59" customWidth="1"/>
    <col min="4" max="4" width="14.54296875" style="59" bestFit="1" customWidth="1"/>
    <col min="5" max="6" width="11.1796875" style="59" customWidth="1"/>
    <col min="7" max="7" width="13.7265625" style="68" customWidth="1"/>
    <col min="8" max="8" width="32" style="68" hidden="1" customWidth="1"/>
    <col min="9" max="65" width="9.1796875" style="68"/>
    <col min="66" max="16384" width="9.1796875" style="59"/>
  </cols>
  <sheetData>
    <row r="1" spans="1:244" s="23" customFormat="1" ht="15" customHeight="1" x14ac:dyDescent="0.35">
      <c r="A1" s="150" t="s">
        <v>0</v>
      </c>
      <c r="B1" s="150"/>
      <c r="C1" s="150"/>
      <c r="D1" s="150"/>
      <c r="E1" s="150"/>
      <c r="F1" s="150"/>
      <c r="G1" s="68"/>
      <c r="H1" s="68" t="s">
        <v>80</v>
      </c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22"/>
      <c r="BO1" s="22"/>
      <c r="BP1" s="22"/>
      <c r="BQ1" s="22"/>
      <c r="BR1" s="22"/>
    </row>
    <row r="2" spans="1:244" s="23" customFormat="1" ht="13.5" customHeight="1" x14ac:dyDescent="0.35">
      <c r="A2" s="149" t="s">
        <v>1</v>
      </c>
      <c r="B2" s="149"/>
      <c r="C2" s="146" t="s">
        <v>153</v>
      </c>
      <c r="D2" s="146"/>
      <c r="E2" s="146"/>
      <c r="F2" s="146"/>
      <c r="G2" s="68"/>
      <c r="H2" s="68" t="s">
        <v>73</v>
      </c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22"/>
      <c r="BO2" s="22"/>
      <c r="BP2" s="22"/>
      <c r="BQ2" s="22"/>
      <c r="BR2" s="22"/>
    </row>
    <row r="3" spans="1:244" s="23" customFormat="1" ht="13.5" customHeight="1" x14ac:dyDescent="0.35">
      <c r="A3" s="149" t="s">
        <v>2</v>
      </c>
      <c r="B3" s="149"/>
      <c r="C3" s="146" t="s">
        <v>154</v>
      </c>
      <c r="D3" s="146"/>
      <c r="E3" s="146"/>
      <c r="F3" s="146"/>
      <c r="G3" s="68"/>
      <c r="H3" s="68" t="s">
        <v>81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22"/>
      <c r="BO3" s="22"/>
      <c r="BP3" s="22"/>
      <c r="BQ3" s="22"/>
      <c r="BR3" s="22"/>
    </row>
    <row r="4" spans="1:244" s="23" customFormat="1" ht="13.5" customHeight="1" x14ac:dyDescent="0.35">
      <c r="A4" s="149" t="s">
        <v>69</v>
      </c>
      <c r="B4" s="149"/>
      <c r="C4" s="146" t="s">
        <v>155</v>
      </c>
      <c r="D4" s="146"/>
      <c r="E4" s="146"/>
      <c r="F4" s="146"/>
      <c r="G4" s="68"/>
      <c r="H4" s="68" t="s">
        <v>82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22"/>
      <c r="BO4" s="22"/>
      <c r="BP4" s="22"/>
      <c r="BQ4" s="22"/>
      <c r="BR4" s="22"/>
    </row>
    <row r="5" spans="1:244" s="23" customFormat="1" ht="13.5" customHeight="1" x14ac:dyDescent="0.35">
      <c r="A5" s="149" t="s">
        <v>70</v>
      </c>
      <c r="B5" s="149"/>
      <c r="C5" s="146" t="s">
        <v>156</v>
      </c>
      <c r="D5" s="146"/>
      <c r="E5" s="146"/>
      <c r="F5" s="146"/>
      <c r="G5" s="68"/>
      <c r="H5" s="29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22"/>
      <c r="BO5" s="22"/>
      <c r="BP5" s="22"/>
      <c r="BQ5" s="22"/>
      <c r="BR5" s="22"/>
    </row>
    <row r="6" spans="1:244" s="23" customFormat="1" ht="13.5" customHeight="1" x14ac:dyDescent="0.35">
      <c r="A6" s="149" t="s">
        <v>71</v>
      </c>
      <c r="B6" s="149"/>
      <c r="C6" s="146" t="s">
        <v>157</v>
      </c>
      <c r="D6" s="146"/>
      <c r="E6" s="146"/>
      <c r="F6" s="146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22"/>
      <c r="BO6" s="22"/>
      <c r="BP6" s="22"/>
      <c r="BQ6" s="22"/>
      <c r="BR6" s="22"/>
    </row>
    <row r="7" spans="1:244" s="23" customFormat="1" ht="13.5" customHeight="1" x14ac:dyDescent="0.35">
      <c r="A7" s="149" t="s">
        <v>72</v>
      </c>
      <c r="B7" s="149"/>
      <c r="C7" s="146" t="s">
        <v>158</v>
      </c>
      <c r="D7" s="146"/>
      <c r="E7" s="146"/>
      <c r="F7" s="146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22"/>
      <c r="BO7" s="22"/>
      <c r="BP7" s="22"/>
      <c r="BQ7" s="22"/>
      <c r="BR7" s="22"/>
    </row>
    <row r="8" spans="1:244" s="77" customFormat="1" ht="13.5" customHeight="1" x14ac:dyDescent="0.25">
      <c r="A8" s="167" t="s">
        <v>135</v>
      </c>
      <c r="B8" s="167"/>
      <c r="C8" s="168" t="s">
        <v>162</v>
      </c>
      <c r="D8" s="169"/>
      <c r="E8" s="74" t="s">
        <v>136</v>
      </c>
      <c r="F8" s="86">
        <v>43763</v>
      </c>
      <c r="H8" s="75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</row>
    <row r="9" spans="1:244" s="23" customFormat="1" ht="13.5" customHeight="1" x14ac:dyDescent="0.35">
      <c r="A9" s="149" t="s">
        <v>4</v>
      </c>
      <c r="B9" s="149"/>
      <c r="C9" s="151">
        <v>0.01</v>
      </c>
      <c r="D9" s="151"/>
      <c r="E9" s="151"/>
      <c r="F9" s="151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22"/>
      <c r="BO9" s="22"/>
      <c r="BP9" s="22"/>
      <c r="BQ9" s="22"/>
      <c r="BR9" s="22"/>
    </row>
    <row r="10" spans="1:244" s="23" customFormat="1" ht="13.5" customHeight="1" x14ac:dyDescent="0.35">
      <c r="A10" s="149" t="s">
        <v>106</v>
      </c>
      <c r="B10" s="149"/>
      <c r="C10" s="151">
        <v>0.12</v>
      </c>
      <c r="D10" s="151"/>
      <c r="E10" s="151"/>
      <c r="F10" s="151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22"/>
      <c r="BO10" s="22"/>
      <c r="BP10" s="22"/>
      <c r="BQ10" s="22"/>
      <c r="BR10" s="22"/>
    </row>
    <row r="11" spans="1:244" s="23" customFormat="1" ht="13.5" customHeight="1" x14ac:dyDescent="0.35">
      <c r="A11" s="149" t="s">
        <v>63</v>
      </c>
      <c r="B11" s="149"/>
      <c r="C11" s="151">
        <v>0.2</v>
      </c>
      <c r="D11" s="151"/>
      <c r="E11" s="151"/>
      <c r="F11" s="151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22"/>
      <c r="BO11" s="22"/>
      <c r="BP11" s="22"/>
      <c r="BQ11" s="22"/>
      <c r="BR11" s="22"/>
    </row>
    <row r="12" spans="1:244" s="23" customFormat="1" ht="13.5" customHeight="1" x14ac:dyDescent="0.35">
      <c r="A12" s="149" t="s">
        <v>3</v>
      </c>
      <c r="B12" s="149"/>
      <c r="C12" s="155" t="s">
        <v>81</v>
      </c>
      <c r="D12" s="156"/>
      <c r="E12" s="156"/>
      <c r="F12" s="157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22"/>
      <c r="BO12" s="22"/>
      <c r="BP12" s="22"/>
      <c r="BQ12" s="22"/>
      <c r="BR12" s="22"/>
    </row>
    <row r="13" spans="1:244" s="23" customFormat="1" ht="13.5" customHeight="1" x14ac:dyDescent="0.35">
      <c r="A13" s="149" t="s">
        <v>65</v>
      </c>
      <c r="B13" s="149"/>
      <c r="C13" s="151">
        <v>7.5999999999999998E-2</v>
      </c>
      <c r="D13" s="151"/>
      <c r="E13" s="151"/>
      <c r="F13" s="151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22"/>
      <c r="BO13" s="22"/>
      <c r="BP13" s="22"/>
      <c r="BQ13" s="22"/>
      <c r="BR13" s="22"/>
    </row>
    <row r="14" spans="1:244" s="23" customFormat="1" ht="13.5" customHeight="1" x14ac:dyDescent="0.35">
      <c r="A14" s="149" t="s">
        <v>64</v>
      </c>
      <c r="B14" s="149"/>
      <c r="C14" s="151">
        <v>1.6500000000000001E-2</v>
      </c>
      <c r="D14" s="151"/>
      <c r="E14" s="151"/>
      <c r="F14" s="151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22"/>
      <c r="BO14" s="22"/>
      <c r="BP14" s="22"/>
      <c r="BQ14" s="22"/>
      <c r="BR14" s="22"/>
    </row>
    <row r="15" spans="1:244" s="23" customFormat="1" ht="13.5" customHeight="1" x14ac:dyDescent="0.35">
      <c r="A15" s="149" t="s">
        <v>5</v>
      </c>
      <c r="B15" s="149"/>
      <c r="C15" s="151">
        <v>0.05</v>
      </c>
      <c r="D15" s="151"/>
      <c r="E15" s="151"/>
      <c r="F15" s="151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22"/>
      <c r="BO15" s="22"/>
      <c r="BP15" s="22"/>
      <c r="BQ15" s="22"/>
      <c r="BR15" s="22"/>
    </row>
    <row r="16" spans="1:244" s="23" customFormat="1" ht="13.5" customHeight="1" x14ac:dyDescent="0.35">
      <c r="A16" s="149" t="s">
        <v>79</v>
      </c>
      <c r="B16" s="149"/>
      <c r="C16" s="151"/>
      <c r="D16" s="151"/>
      <c r="E16" s="151"/>
      <c r="F16" s="151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24"/>
      <c r="BO16" s="24"/>
      <c r="BP16" s="24"/>
      <c r="BQ16" s="24"/>
      <c r="BR16" s="24"/>
    </row>
    <row r="17" spans="1:70" ht="13.5" customHeight="1" x14ac:dyDescent="0.35">
      <c r="A17" s="149" t="s">
        <v>7</v>
      </c>
      <c r="B17" s="149"/>
      <c r="C17" s="158">
        <f>$E$111</f>
        <v>0.5645</v>
      </c>
      <c r="D17" s="159"/>
      <c r="E17" s="159"/>
      <c r="F17" s="160"/>
    </row>
    <row r="18" spans="1:70" s="23" customFormat="1" ht="13.5" customHeight="1" x14ac:dyDescent="0.35">
      <c r="A18" s="149" t="s">
        <v>6</v>
      </c>
      <c r="B18" s="149"/>
      <c r="C18" s="161">
        <v>22</v>
      </c>
      <c r="D18" s="162"/>
      <c r="E18" s="162"/>
      <c r="F18" s="163"/>
      <c r="G18" s="68"/>
      <c r="H18" s="68"/>
      <c r="I18" s="68"/>
      <c r="J18" s="31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22"/>
      <c r="BO18" s="22"/>
      <c r="BP18" s="22"/>
      <c r="BQ18" s="22"/>
      <c r="BR18" s="22"/>
    </row>
    <row r="19" spans="1:70" s="23" customFormat="1" ht="13.5" customHeight="1" x14ac:dyDescent="0.35">
      <c r="A19" s="149" t="s">
        <v>74</v>
      </c>
      <c r="B19" s="149"/>
      <c r="C19" s="82">
        <v>8</v>
      </c>
      <c r="D19" s="164" t="s">
        <v>75</v>
      </c>
      <c r="E19" s="165"/>
      <c r="F19" s="166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22"/>
      <c r="BO19" s="22"/>
      <c r="BP19" s="22"/>
      <c r="BQ19" s="22"/>
      <c r="BR19" s="22"/>
    </row>
    <row r="20" spans="1:70" ht="9" customHeight="1" x14ac:dyDescent="0.35">
      <c r="A20" s="29"/>
      <c r="B20" s="29"/>
      <c r="C20" s="29"/>
      <c r="D20" s="29"/>
      <c r="E20" s="29"/>
      <c r="F20" s="29"/>
    </row>
    <row r="21" spans="1:70" x14ac:dyDescent="0.35">
      <c r="A21" s="152" t="s">
        <v>109</v>
      </c>
      <c r="B21" s="153"/>
      <c r="C21" s="153"/>
      <c r="D21" s="153"/>
      <c r="E21" s="153"/>
      <c r="F21" s="154"/>
    </row>
    <row r="22" spans="1:70" x14ac:dyDescent="0.35">
      <c r="A22" s="90" t="s">
        <v>110</v>
      </c>
      <c r="B22" s="91"/>
      <c r="C22" s="81" t="s">
        <v>141</v>
      </c>
      <c r="D22" s="79" t="s">
        <v>111</v>
      </c>
      <c r="E22" s="79" t="s">
        <v>112</v>
      </c>
      <c r="F22" s="79" t="s">
        <v>8</v>
      </c>
      <c r="BL22" s="59"/>
      <c r="BM22" s="59"/>
    </row>
    <row r="23" spans="1:70" x14ac:dyDescent="0.35">
      <c r="A23" s="175" t="s">
        <v>163</v>
      </c>
      <c r="B23" s="176"/>
      <c r="C23" s="45" t="s">
        <v>159</v>
      </c>
      <c r="D23" s="45" t="s">
        <v>53</v>
      </c>
      <c r="E23" s="2" t="s">
        <v>116</v>
      </c>
      <c r="F23" s="27">
        <v>3</v>
      </c>
      <c r="BL23" s="59"/>
      <c r="BM23" s="59"/>
    </row>
    <row r="24" spans="1:70" ht="7.5" customHeight="1" x14ac:dyDescent="0.35">
      <c r="A24" s="95"/>
      <c r="B24" s="95"/>
      <c r="C24" s="95"/>
      <c r="D24" s="95"/>
      <c r="E24" s="95"/>
      <c r="F24" s="96"/>
    </row>
    <row r="25" spans="1:70" x14ac:dyDescent="0.35">
      <c r="A25" s="152" t="s">
        <v>9</v>
      </c>
      <c r="B25" s="153"/>
      <c r="C25" s="153"/>
      <c r="D25" s="153"/>
      <c r="E25" s="153"/>
      <c r="F25" s="154"/>
      <c r="BL25" s="59"/>
      <c r="BM25" s="59"/>
    </row>
    <row r="26" spans="1:70" x14ac:dyDescent="0.35">
      <c r="A26" s="106" t="s">
        <v>113</v>
      </c>
      <c r="B26" s="107"/>
      <c r="C26" s="107"/>
      <c r="D26" s="107"/>
      <c r="E26" s="108"/>
      <c r="F26" s="79" t="s">
        <v>10</v>
      </c>
      <c r="G26" s="31"/>
      <c r="BL26" s="59"/>
      <c r="BM26" s="59"/>
    </row>
    <row r="27" spans="1:70" x14ac:dyDescent="0.35">
      <c r="A27" s="97" t="s">
        <v>114</v>
      </c>
      <c r="B27" s="98"/>
      <c r="C27" s="98"/>
      <c r="D27" s="98"/>
      <c r="E27" s="99"/>
      <c r="F27" s="63">
        <v>1173.6199999999999</v>
      </c>
      <c r="G27" s="31"/>
      <c r="BL27" s="59"/>
      <c r="BM27" s="59"/>
    </row>
    <row r="28" spans="1:70" x14ac:dyDescent="0.35">
      <c r="A28" s="97" t="s">
        <v>11</v>
      </c>
      <c r="B28" s="98"/>
      <c r="C28" s="98"/>
      <c r="D28" s="98"/>
      <c r="E28" s="99"/>
      <c r="F28" s="63">
        <v>0</v>
      </c>
      <c r="G28" s="31"/>
      <c r="BL28" s="59"/>
      <c r="BM28" s="59"/>
    </row>
    <row r="29" spans="1:70" x14ac:dyDescent="0.35">
      <c r="A29" s="42" t="s">
        <v>115</v>
      </c>
      <c r="B29" s="43"/>
      <c r="C29" s="43"/>
      <c r="D29" s="43"/>
      <c r="E29" s="44"/>
      <c r="F29" s="52">
        <f>SUM(F27:F28)</f>
        <v>1173.6199999999999</v>
      </c>
      <c r="G29" s="31"/>
      <c r="BL29" s="59"/>
      <c r="BM29" s="59"/>
    </row>
    <row r="30" spans="1:70" ht="7.5" customHeight="1" x14ac:dyDescent="0.35">
      <c r="A30" s="95"/>
      <c r="B30" s="95"/>
      <c r="C30" s="95"/>
      <c r="D30" s="95"/>
      <c r="E30" s="95"/>
      <c r="F30" s="96"/>
    </row>
    <row r="31" spans="1:70" x14ac:dyDescent="0.35">
      <c r="A31" s="92" t="s">
        <v>12</v>
      </c>
      <c r="B31" s="92"/>
      <c r="C31" s="92"/>
      <c r="D31" s="92"/>
      <c r="E31" s="92"/>
      <c r="F31" s="92"/>
      <c r="I31" s="31"/>
    </row>
    <row r="32" spans="1:70" x14ac:dyDescent="0.35">
      <c r="A32" s="174" t="s">
        <v>13</v>
      </c>
      <c r="B32" s="174"/>
      <c r="C32" s="174"/>
      <c r="D32" s="174"/>
      <c r="E32" s="174"/>
      <c r="F32" s="174"/>
      <c r="I32" s="31"/>
    </row>
    <row r="33" spans="1:7" ht="15" customHeight="1" x14ac:dyDescent="0.35">
      <c r="A33" s="61">
        <v>1</v>
      </c>
      <c r="B33" s="111" t="s">
        <v>14</v>
      </c>
      <c r="C33" s="111"/>
      <c r="D33" s="111"/>
      <c r="E33" s="6">
        <f>IF(C16&gt;0,0,20%)</f>
        <v>0.2</v>
      </c>
      <c r="F33" s="173"/>
      <c r="G33" s="30"/>
    </row>
    <row r="34" spans="1:7" ht="15" customHeight="1" x14ac:dyDescent="0.35">
      <c r="A34" s="61">
        <v>2</v>
      </c>
      <c r="B34" s="111" t="s">
        <v>15</v>
      </c>
      <c r="C34" s="111"/>
      <c r="D34" s="111"/>
      <c r="E34" s="6">
        <f>IF($C$12&lt;&gt;"Simples Nacional",1.5%,IF($C$12="Simples Nacional",0,"Informar regime tributário"))</f>
        <v>1.4999999999999999E-2</v>
      </c>
      <c r="F34" s="173"/>
      <c r="G34" s="30"/>
    </row>
    <row r="35" spans="1:7" ht="15" customHeight="1" x14ac:dyDescent="0.35">
      <c r="A35" s="61">
        <v>3</v>
      </c>
      <c r="B35" s="111" t="s">
        <v>16</v>
      </c>
      <c r="C35" s="111"/>
      <c r="D35" s="111"/>
      <c r="E35" s="6">
        <f>IF($C$12&lt;&gt;"Simples Nacional",1%,IF($C$12="Simples Nacional",0,"Informar regime tributário"))</f>
        <v>0.01</v>
      </c>
      <c r="F35" s="173"/>
      <c r="G35" s="30"/>
    </row>
    <row r="36" spans="1:7" ht="15" customHeight="1" x14ac:dyDescent="0.35">
      <c r="A36" s="61">
        <v>4</v>
      </c>
      <c r="B36" s="111" t="s">
        <v>17</v>
      </c>
      <c r="C36" s="111"/>
      <c r="D36" s="111"/>
      <c r="E36" s="6">
        <f>IF($C$12&lt;&gt;"Simples Nacional",0.2%,IF($C$12="Simples Nacional",0,"Informar regime tributário"))</f>
        <v>2E-3</v>
      </c>
      <c r="F36" s="173"/>
      <c r="G36" s="30"/>
    </row>
    <row r="37" spans="1:7" ht="15" customHeight="1" x14ac:dyDescent="0.35">
      <c r="A37" s="61">
        <v>5</v>
      </c>
      <c r="B37" s="111" t="s">
        <v>18</v>
      </c>
      <c r="C37" s="111"/>
      <c r="D37" s="111"/>
      <c r="E37" s="6">
        <f>IF($C$12&lt;&gt;"Simples Nacional",2.5%,IF($C$12="Simples Nacional",0,"Informar regime tributário"))</f>
        <v>2.5000000000000001E-2</v>
      </c>
      <c r="F37" s="173"/>
      <c r="G37" s="30"/>
    </row>
    <row r="38" spans="1:7" ht="15" customHeight="1" x14ac:dyDescent="0.35">
      <c r="A38" s="61">
        <v>6</v>
      </c>
      <c r="B38" s="111" t="s">
        <v>19</v>
      </c>
      <c r="C38" s="111"/>
      <c r="D38" s="111"/>
      <c r="E38" s="6">
        <v>0.08</v>
      </c>
      <c r="F38" s="173"/>
      <c r="G38" s="30"/>
    </row>
    <row r="39" spans="1:7" ht="15" customHeight="1" x14ac:dyDescent="0.35">
      <c r="A39" s="61">
        <v>7</v>
      </c>
      <c r="B39" s="111" t="s">
        <v>20</v>
      </c>
      <c r="C39" s="111"/>
      <c r="D39" s="111"/>
      <c r="E39" s="6">
        <f>IF(C9=0,"Informar SAT",$C$9)</f>
        <v>0.01</v>
      </c>
      <c r="F39" s="173"/>
      <c r="G39" s="30"/>
    </row>
    <row r="40" spans="1:7" ht="15" customHeight="1" x14ac:dyDescent="0.35">
      <c r="A40" s="61">
        <v>8</v>
      </c>
      <c r="B40" s="111" t="s">
        <v>21</v>
      </c>
      <c r="C40" s="111"/>
      <c r="D40" s="111"/>
      <c r="E40" s="6">
        <f>IF($C$12&lt;&gt;"Simples Nacional",0.6%,IF($C$12="Simples Nacional",0,"Informar regime tributário"))</f>
        <v>6.0000000000000001E-3</v>
      </c>
      <c r="F40" s="173"/>
      <c r="G40" s="30"/>
    </row>
    <row r="41" spans="1:7" x14ac:dyDescent="0.35">
      <c r="A41" s="131" t="s">
        <v>90</v>
      </c>
      <c r="B41" s="131"/>
      <c r="C41" s="131"/>
      <c r="D41" s="131"/>
      <c r="E41" s="7">
        <f>SUM(E33:E40)</f>
        <v>0.34800000000000009</v>
      </c>
      <c r="F41" s="173"/>
      <c r="G41" s="31"/>
    </row>
    <row r="42" spans="1:7" ht="7.5" customHeight="1" x14ac:dyDescent="0.35">
      <c r="A42" s="95"/>
      <c r="B42" s="95"/>
      <c r="C42" s="95"/>
      <c r="D42" s="95"/>
      <c r="E42" s="95"/>
      <c r="F42" s="96"/>
    </row>
    <row r="43" spans="1:7" x14ac:dyDescent="0.35">
      <c r="A43" s="128" t="s">
        <v>22</v>
      </c>
      <c r="B43" s="129"/>
      <c r="C43" s="129"/>
      <c r="D43" s="129"/>
      <c r="E43" s="129"/>
      <c r="F43" s="130"/>
    </row>
    <row r="44" spans="1:7" x14ac:dyDescent="0.35">
      <c r="A44" s="61">
        <v>1</v>
      </c>
      <c r="B44" s="111" t="s">
        <v>23</v>
      </c>
      <c r="C44" s="111"/>
      <c r="D44" s="111"/>
      <c r="E44" s="6">
        <f>ROUND(5/56,4)</f>
        <v>8.9300000000000004E-2</v>
      </c>
      <c r="F44" s="112"/>
    </row>
    <row r="45" spans="1:7" x14ac:dyDescent="0.35">
      <c r="A45" s="61">
        <v>2</v>
      </c>
      <c r="B45" s="111" t="s">
        <v>24</v>
      </c>
      <c r="C45" s="111"/>
      <c r="D45" s="111"/>
      <c r="E45" s="6">
        <f>ROUND($E$44/3,4)</f>
        <v>2.98E-2</v>
      </c>
      <c r="F45" s="113"/>
    </row>
    <row r="46" spans="1:7" x14ac:dyDescent="0.35">
      <c r="A46" s="61">
        <v>3</v>
      </c>
      <c r="B46" s="111" t="s">
        <v>25</v>
      </c>
      <c r="C46" s="111"/>
      <c r="D46" s="111"/>
      <c r="E46" s="6">
        <f>ROUND((E44+E45)*E41,4)</f>
        <v>4.1399999999999999E-2</v>
      </c>
      <c r="F46" s="113"/>
    </row>
    <row r="47" spans="1:7" x14ac:dyDescent="0.35">
      <c r="A47" s="131" t="s">
        <v>89</v>
      </c>
      <c r="B47" s="131"/>
      <c r="C47" s="131"/>
      <c r="D47" s="131"/>
      <c r="E47" s="8">
        <f>SUM(E44:E46)</f>
        <v>0.1605</v>
      </c>
      <c r="F47" s="114"/>
    </row>
    <row r="48" spans="1:7" ht="7.5" customHeight="1" x14ac:dyDescent="0.35">
      <c r="A48" s="95"/>
      <c r="B48" s="95"/>
      <c r="C48" s="95"/>
      <c r="D48" s="95"/>
      <c r="E48" s="95"/>
      <c r="F48" s="96"/>
    </row>
    <row r="49" spans="1:6" x14ac:dyDescent="0.35">
      <c r="A49" s="128" t="s">
        <v>26</v>
      </c>
      <c r="B49" s="129"/>
      <c r="C49" s="129"/>
      <c r="D49" s="129"/>
      <c r="E49" s="129"/>
      <c r="F49" s="129"/>
    </row>
    <row r="50" spans="1:6" x14ac:dyDescent="0.35">
      <c r="A50" s="61">
        <v>1</v>
      </c>
      <c r="B50" s="111" t="s">
        <v>27</v>
      </c>
      <c r="C50" s="111"/>
      <c r="D50" s="111"/>
      <c r="E50" s="62">
        <v>1.08E-3</v>
      </c>
      <c r="F50" s="112"/>
    </row>
    <row r="51" spans="1:6" x14ac:dyDescent="0.35">
      <c r="A51" s="61">
        <v>2</v>
      </c>
      <c r="B51" s="111" t="s">
        <v>25</v>
      </c>
      <c r="C51" s="111"/>
      <c r="D51" s="111"/>
      <c r="E51" s="6">
        <f>ROUND(E50*E41,4)</f>
        <v>4.0000000000000002E-4</v>
      </c>
      <c r="F51" s="113"/>
    </row>
    <row r="52" spans="1:6" x14ac:dyDescent="0.35">
      <c r="A52" s="131" t="s">
        <v>88</v>
      </c>
      <c r="B52" s="131"/>
      <c r="C52" s="131"/>
      <c r="D52" s="131"/>
      <c r="E52" s="8">
        <f>SUM(E50:E51)</f>
        <v>1.48E-3</v>
      </c>
      <c r="F52" s="114"/>
    </row>
    <row r="53" spans="1:6" ht="7.5" customHeight="1" x14ac:dyDescent="0.35">
      <c r="A53" s="95"/>
      <c r="B53" s="95"/>
      <c r="C53" s="95"/>
      <c r="D53" s="95"/>
      <c r="E53" s="95"/>
      <c r="F53" s="96"/>
    </row>
    <row r="54" spans="1:6" x14ac:dyDescent="0.35">
      <c r="A54" s="128" t="s">
        <v>28</v>
      </c>
      <c r="B54" s="129"/>
      <c r="C54" s="129"/>
      <c r="D54" s="129"/>
      <c r="E54" s="129"/>
      <c r="F54" s="130"/>
    </row>
    <row r="55" spans="1:6" x14ac:dyDescent="0.35">
      <c r="A55" s="61">
        <v>1</v>
      </c>
      <c r="B55" s="111" t="s">
        <v>29</v>
      </c>
      <c r="C55" s="111"/>
      <c r="D55" s="111"/>
      <c r="E55" s="6">
        <f>ROUND(1/12*5%,4)</f>
        <v>4.1999999999999997E-3</v>
      </c>
      <c r="F55" s="112"/>
    </row>
    <row r="56" spans="1:6" x14ac:dyDescent="0.35">
      <c r="A56" s="61">
        <v>2</v>
      </c>
      <c r="B56" s="147" t="s">
        <v>30</v>
      </c>
      <c r="C56" s="147"/>
      <c r="D56" s="147"/>
      <c r="E56" s="6">
        <f>ROUND($E$55*E38,4)</f>
        <v>2.9999999999999997E-4</v>
      </c>
      <c r="F56" s="113"/>
    </row>
    <row r="57" spans="1:6" x14ac:dyDescent="0.35">
      <c r="A57" s="61">
        <v>3</v>
      </c>
      <c r="B57" s="147" t="s">
        <v>31</v>
      </c>
      <c r="C57" s="147"/>
      <c r="D57" s="147"/>
      <c r="E57" s="6">
        <f>ROUND($E$56*0.5,4)</f>
        <v>2.0000000000000001E-4</v>
      </c>
      <c r="F57" s="113"/>
    </row>
    <row r="58" spans="1:6" x14ac:dyDescent="0.35">
      <c r="A58" s="61">
        <v>4</v>
      </c>
      <c r="B58" s="111" t="s">
        <v>32</v>
      </c>
      <c r="C58" s="111"/>
      <c r="D58" s="111"/>
      <c r="E58" s="6">
        <f>ROUND(1/30/12*7*2%,4)</f>
        <v>4.0000000000000002E-4</v>
      </c>
      <c r="F58" s="113"/>
    </row>
    <row r="59" spans="1:6" x14ac:dyDescent="0.35">
      <c r="A59" s="61">
        <v>5</v>
      </c>
      <c r="B59" s="147" t="s">
        <v>33</v>
      </c>
      <c r="C59" s="147"/>
      <c r="D59" s="147"/>
      <c r="E59" s="6">
        <f>ROUND(E58*$E$41,4)</f>
        <v>1E-4</v>
      </c>
      <c r="F59" s="113"/>
    </row>
    <row r="60" spans="1:6" x14ac:dyDescent="0.35">
      <c r="A60" s="61">
        <v>6</v>
      </c>
      <c r="B60" s="147" t="s">
        <v>34</v>
      </c>
      <c r="C60" s="147"/>
      <c r="D60" s="147"/>
      <c r="E60" s="6">
        <f>ROUND($E$58*0.08*0.5,4)</f>
        <v>0</v>
      </c>
      <c r="F60" s="113"/>
    </row>
    <row r="61" spans="1:6" x14ac:dyDescent="0.35">
      <c r="A61" s="61">
        <v>7</v>
      </c>
      <c r="B61" s="148" t="s">
        <v>35</v>
      </c>
      <c r="C61" s="148"/>
      <c r="D61" s="148"/>
      <c r="E61" s="6">
        <f>ROUND((1%*(1/12)),4)</f>
        <v>8.0000000000000004E-4</v>
      </c>
      <c r="F61" s="113"/>
    </row>
    <row r="62" spans="1:6" x14ac:dyDescent="0.35">
      <c r="A62" s="131" t="s">
        <v>87</v>
      </c>
      <c r="B62" s="131"/>
      <c r="C62" s="131"/>
      <c r="D62" s="131"/>
      <c r="E62" s="8">
        <f>SUM(E55:E61)</f>
        <v>6.0000000000000001E-3</v>
      </c>
      <c r="F62" s="114"/>
    </row>
    <row r="63" spans="1:6" ht="7.5" customHeight="1" x14ac:dyDescent="0.35">
      <c r="A63" s="95"/>
      <c r="B63" s="95"/>
      <c r="C63" s="95"/>
      <c r="D63" s="95"/>
      <c r="E63" s="95"/>
      <c r="F63" s="96"/>
    </row>
    <row r="64" spans="1:6" x14ac:dyDescent="0.35">
      <c r="A64" s="128" t="s">
        <v>36</v>
      </c>
      <c r="B64" s="129"/>
      <c r="C64" s="129"/>
      <c r="D64" s="129"/>
      <c r="E64" s="129"/>
      <c r="F64" s="130"/>
    </row>
    <row r="65" spans="1:6" x14ac:dyDescent="0.35">
      <c r="A65" s="61">
        <v>1</v>
      </c>
      <c r="B65" s="111" t="s">
        <v>37</v>
      </c>
      <c r="C65" s="111"/>
      <c r="D65" s="111"/>
      <c r="E65" s="6">
        <f>ROUND(1*8%*50%*90%,4)</f>
        <v>3.5999999999999997E-2</v>
      </c>
      <c r="F65" s="112"/>
    </row>
    <row r="66" spans="1:6" x14ac:dyDescent="0.35">
      <c r="A66" s="61">
        <v>2</v>
      </c>
      <c r="B66" s="111" t="s">
        <v>38</v>
      </c>
      <c r="C66" s="111"/>
      <c r="D66" s="111"/>
      <c r="E66" s="6">
        <f>ROUND(($E$44+$E$45)*8%*50%*90%,4)</f>
        <v>4.3E-3</v>
      </c>
      <c r="F66" s="113"/>
    </row>
    <row r="67" spans="1:6" x14ac:dyDescent="0.35">
      <c r="A67" s="61">
        <v>9</v>
      </c>
      <c r="B67" s="111" t="s">
        <v>39</v>
      </c>
      <c r="C67" s="111"/>
      <c r="D67" s="111"/>
      <c r="E67" s="6">
        <f>ROUND($E$44*8%*50%*90%,4)</f>
        <v>3.2000000000000002E-3</v>
      </c>
      <c r="F67" s="113"/>
    </row>
    <row r="68" spans="1:6" x14ac:dyDescent="0.35">
      <c r="A68" s="131" t="s">
        <v>86</v>
      </c>
      <c r="B68" s="131"/>
      <c r="C68" s="131"/>
      <c r="D68" s="131"/>
      <c r="E68" s="8">
        <f>SUM(E65:E67)</f>
        <v>4.3499999999999997E-2</v>
      </c>
      <c r="F68" s="114"/>
    </row>
    <row r="69" spans="1:6" ht="7.5" customHeight="1" x14ac:dyDescent="0.35">
      <c r="A69" s="95"/>
      <c r="B69" s="95"/>
      <c r="C69" s="95"/>
      <c r="D69" s="95"/>
      <c r="E69" s="95"/>
      <c r="F69" s="96"/>
    </row>
    <row r="70" spans="1:6" x14ac:dyDescent="0.35">
      <c r="A70" s="128" t="s">
        <v>40</v>
      </c>
      <c r="B70" s="129"/>
      <c r="C70" s="129"/>
      <c r="D70" s="129"/>
      <c r="E70" s="129"/>
      <c r="F70" s="130"/>
    </row>
    <row r="71" spans="1:6" x14ac:dyDescent="0.35">
      <c r="A71" s="61">
        <v>1</v>
      </c>
      <c r="B71" s="111" t="s">
        <v>41</v>
      </c>
      <c r="C71" s="111"/>
      <c r="D71" s="111"/>
      <c r="E71" s="6">
        <f>ROUND(5/56,4)</f>
        <v>8.9300000000000004E-2</v>
      </c>
      <c r="F71" s="112"/>
    </row>
    <row r="72" spans="1:6" x14ac:dyDescent="0.35">
      <c r="A72" s="61">
        <v>2</v>
      </c>
      <c r="B72" s="111" t="s">
        <v>42</v>
      </c>
      <c r="C72" s="111"/>
      <c r="D72" s="111"/>
      <c r="E72" s="6">
        <f>ROUND((5.96/30)/12,4)</f>
        <v>1.66E-2</v>
      </c>
      <c r="F72" s="113"/>
    </row>
    <row r="73" spans="1:6" x14ac:dyDescent="0.35">
      <c r="A73" s="61">
        <v>3</v>
      </c>
      <c r="B73" s="111" t="s">
        <v>43</v>
      </c>
      <c r="C73" s="111"/>
      <c r="D73" s="111"/>
      <c r="E73" s="62">
        <f>5/30/12*1.5%</f>
        <v>2.0833333333333332E-4</v>
      </c>
      <c r="F73" s="113"/>
    </row>
    <row r="74" spans="1:6" x14ac:dyDescent="0.35">
      <c r="A74" s="61">
        <v>4</v>
      </c>
      <c r="B74" s="111" t="s">
        <v>44</v>
      </c>
      <c r="C74" s="111"/>
      <c r="D74" s="111"/>
      <c r="E74" s="6">
        <f>ROUND(2.96/360,4)</f>
        <v>8.2000000000000007E-3</v>
      </c>
      <c r="F74" s="113"/>
    </row>
    <row r="75" spans="1:6" x14ac:dyDescent="0.35">
      <c r="A75" s="61">
        <v>5</v>
      </c>
      <c r="B75" s="111" t="s">
        <v>45</v>
      </c>
      <c r="C75" s="111"/>
      <c r="D75" s="111"/>
      <c r="E75" s="6">
        <f>ROUND((15/30)/12*0.78%,4)</f>
        <v>2.9999999999999997E-4</v>
      </c>
      <c r="F75" s="113"/>
    </row>
    <row r="76" spans="1:6" x14ac:dyDescent="0.35">
      <c r="A76" s="61">
        <v>6</v>
      </c>
      <c r="B76" s="111" t="s">
        <v>25</v>
      </c>
      <c r="C76" s="111"/>
      <c r="D76" s="111"/>
      <c r="E76" s="6">
        <f>ROUND(SUM(E71:E75)*$E$41,4)</f>
        <v>3.9899999999999998E-2</v>
      </c>
      <c r="F76" s="113"/>
    </row>
    <row r="77" spans="1:6" x14ac:dyDescent="0.35">
      <c r="A77" s="131" t="s">
        <v>85</v>
      </c>
      <c r="B77" s="131"/>
      <c r="C77" s="131"/>
      <c r="D77" s="131"/>
      <c r="E77" s="8">
        <f>SUM(E71:E76)</f>
        <v>0.15450833333333333</v>
      </c>
      <c r="F77" s="114"/>
    </row>
    <row r="78" spans="1:6" ht="7.5" customHeight="1" x14ac:dyDescent="0.35">
      <c r="A78" s="95"/>
      <c r="B78" s="95"/>
      <c r="C78" s="95"/>
      <c r="D78" s="95"/>
      <c r="E78" s="95"/>
      <c r="F78" s="96"/>
    </row>
    <row r="79" spans="1:6" x14ac:dyDescent="0.35">
      <c r="A79" s="132" t="s">
        <v>46</v>
      </c>
      <c r="B79" s="133"/>
      <c r="C79" s="133"/>
      <c r="D79" s="134"/>
      <c r="E79" s="10">
        <f>E77+E68+E62+E52+E47+E41</f>
        <v>0.71398833333333345</v>
      </c>
      <c r="F79" s="19">
        <f>ROUND($E79*$F$29,2)</f>
        <v>837.95</v>
      </c>
    </row>
    <row r="80" spans="1:6" ht="7.5" customHeight="1" x14ac:dyDescent="0.35">
      <c r="A80" s="95"/>
      <c r="B80" s="95"/>
      <c r="C80" s="95"/>
      <c r="D80" s="95"/>
      <c r="E80" s="95"/>
      <c r="F80" s="96"/>
    </row>
    <row r="81" spans="1:6" x14ac:dyDescent="0.35">
      <c r="A81" s="128" t="s">
        <v>47</v>
      </c>
      <c r="B81" s="129"/>
      <c r="C81" s="129"/>
      <c r="D81" s="129"/>
      <c r="E81" s="129"/>
      <c r="F81" s="12" t="s">
        <v>10</v>
      </c>
    </row>
    <row r="82" spans="1:6" x14ac:dyDescent="0.35">
      <c r="A82" s="172" t="s">
        <v>48</v>
      </c>
      <c r="B82" s="172"/>
      <c r="C82" s="172"/>
      <c r="D82" s="172"/>
      <c r="E82" s="172"/>
      <c r="F82" s="80"/>
    </row>
    <row r="83" spans="1:6" x14ac:dyDescent="0.35">
      <c r="A83" s="2"/>
      <c r="B83" s="117" t="s">
        <v>49</v>
      </c>
      <c r="C83" s="118"/>
      <c r="D83" s="2" t="s">
        <v>50</v>
      </c>
      <c r="E83" s="2" t="s">
        <v>51</v>
      </c>
      <c r="F83" s="13"/>
    </row>
    <row r="84" spans="1:6" x14ac:dyDescent="0.35">
      <c r="A84" s="2">
        <v>1</v>
      </c>
      <c r="B84" s="14" t="s">
        <v>52</v>
      </c>
      <c r="C84" s="119">
        <f>$C$18</f>
        <v>22</v>
      </c>
      <c r="D84" s="63">
        <v>22.15</v>
      </c>
      <c r="E84" s="63">
        <v>0</v>
      </c>
      <c r="F84" s="3">
        <f>($D$84-$E$84)*$C$84</f>
        <v>487.29999999999995</v>
      </c>
    </row>
    <row r="85" spans="1:6" x14ac:dyDescent="0.35">
      <c r="A85" s="2">
        <v>2</v>
      </c>
      <c r="B85" s="14" t="s">
        <v>107</v>
      </c>
      <c r="C85" s="120"/>
      <c r="D85" s="63">
        <v>9</v>
      </c>
      <c r="E85" s="3">
        <f>IF(ROUND($F$27*0.06,2)&gt;(C84*D85),0,ROUND($F$27*0.06,2))</f>
        <v>70.42</v>
      </c>
      <c r="F85" s="15">
        <f>IF($E$85&gt;0,($D$85*$C$84)-$E$85,0)</f>
        <v>127.58</v>
      </c>
    </row>
    <row r="86" spans="1:6" x14ac:dyDescent="0.35">
      <c r="A86" s="121" t="s">
        <v>53</v>
      </c>
      <c r="B86" s="122"/>
      <c r="C86" s="122"/>
      <c r="D86" s="122"/>
      <c r="E86" s="122"/>
      <c r="F86" s="123"/>
    </row>
    <row r="87" spans="1:6" x14ac:dyDescent="0.35">
      <c r="A87" s="2">
        <v>3</v>
      </c>
      <c r="B87" s="87" t="s">
        <v>143</v>
      </c>
      <c r="C87" s="88"/>
      <c r="D87" s="88"/>
      <c r="E87" s="89"/>
      <c r="F87" s="63">
        <v>0</v>
      </c>
    </row>
    <row r="88" spans="1:6" x14ac:dyDescent="0.35">
      <c r="A88" s="2">
        <v>4</v>
      </c>
      <c r="B88" s="87" t="s">
        <v>145</v>
      </c>
      <c r="C88" s="88"/>
      <c r="D88" s="88"/>
      <c r="E88" s="89"/>
      <c r="F88" s="63">
        <v>0</v>
      </c>
    </row>
    <row r="89" spans="1:6" x14ac:dyDescent="0.35">
      <c r="A89" s="2">
        <v>5</v>
      </c>
      <c r="B89" s="87" t="s">
        <v>144</v>
      </c>
      <c r="C89" s="88"/>
      <c r="D89" s="88"/>
      <c r="E89" s="89"/>
      <c r="F89" s="63">
        <v>6.78</v>
      </c>
    </row>
    <row r="90" spans="1:6" x14ac:dyDescent="0.35">
      <c r="A90" s="121" t="s">
        <v>54</v>
      </c>
      <c r="B90" s="122"/>
      <c r="C90" s="122"/>
      <c r="D90" s="122"/>
      <c r="E90" s="122"/>
      <c r="F90" s="123"/>
    </row>
    <row r="91" spans="1:6" x14ac:dyDescent="0.35">
      <c r="A91" s="2">
        <v>6</v>
      </c>
      <c r="B91" s="87" t="s">
        <v>55</v>
      </c>
      <c r="C91" s="88"/>
      <c r="D91" s="88"/>
      <c r="E91" s="89"/>
      <c r="F91" s="63">
        <v>0</v>
      </c>
    </row>
    <row r="92" spans="1:6" x14ac:dyDescent="0.35">
      <c r="A92" s="2">
        <v>7</v>
      </c>
      <c r="B92" s="87" t="s">
        <v>56</v>
      </c>
      <c r="C92" s="88"/>
      <c r="D92" s="16" t="s">
        <v>57</v>
      </c>
      <c r="E92" s="62">
        <v>0</v>
      </c>
      <c r="F92" s="15">
        <f>ROUND($E$92*$F$29,2)</f>
        <v>0</v>
      </c>
    </row>
    <row r="93" spans="1:6" x14ac:dyDescent="0.35">
      <c r="A93" s="2">
        <v>8</v>
      </c>
      <c r="B93" s="87" t="s">
        <v>58</v>
      </c>
      <c r="C93" s="88"/>
      <c r="D93" s="88"/>
      <c r="E93" s="89"/>
      <c r="F93" s="63">
        <v>120</v>
      </c>
    </row>
    <row r="94" spans="1:6" x14ac:dyDescent="0.35">
      <c r="A94" s="2">
        <v>9</v>
      </c>
      <c r="B94" s="87" t="s">
        <v>76</v>
      </c>
      <c r="C94" s="88"/>
      <c r="D94" s="88"/>
      <c r="E94" s="89"/>
      <c r="F94" s="63">
        <v>0</v>
      </c>
    </row>
    <row r="95" spans="1:6" x14ac:dyDescent="0.35">
      <c r="A95" s="103" t="s">
        <v>84</v>
      </c>
      <c r="B95" s="104"/>
      <c r="C95" s="104"/>
      <c r="D95" s="104"/>
      <c r="E95" s="105"/>
      <c r="F95" s="37">
        <f>F84+F85+F87+F88+F89+F91+F92+F93+F94</f>
        <v>741.66</v>
      </c>
    </row>
    <row r="96" spans="1:6" x14ac:dyDescent="0.35">
      <c r="A96" s="126"/>
      <c r="B96" s="126"/>
      <c r="C96" s="126"/>
      <c r="D96" s="126"/>
      <c r="E96" s="126"/>
      <c r="F96" s="127"/>
    </row>
    <row r="97" spans="1:9" x14ac:dyDescent="0.35">
      <c r="A97" s="128" t="s">
        <v>59</v>
      </c>
      <c r="B97" s="129"/>
      <c r="C97" s="129"/>
      <c r="D97" s="129"/>
      <c r="E97" s="130"/>
      <c r="F97" s="1" t="s">
        <v>10</v>
      </c>
    </row>
    <row r="98" spans="1:9" x14ac:dyDescent="0.35">
      <c r="A98" s="61">
        <v>1</v>
      </c>
      <c r="B98" s="87" t="s">
        <v>78</v>
      </c>
      <c r="C98" s="88"/>
      <c r="D98" s="88"/>
      <c r="E98" s="89"/>
      <c r="F98" s="180">
        <v>1898.1515999999999</v>
      </c>
      <c r="G98" s="69"/>
    </row>
    <row r="99" spans="1:9" x14ac:dyDescent="0.35">
      <c r="A99" s="61">
        <v>2</v>
      </c>
      <c r="B99" s="87" t="s">
        <v>76</v>
      </c>
      <c r="C99" s="88"/>
      <c r="D99" s="88"/>
      <c r="E99" s="89"/>
      <c r="F99" s="63">
        <v>0</v>
      </c>
    </row>
    <row r="100" spans="1:9" x14ac:dyDescent="0.35">
      <c r="A100" s="103" t="s">
        <v>60</v>
      </c>
      <c r="B100" s="104"/>
      <c r="C100" s="104"/>
      <c r="D100" s="104"/>
      <c r="E100" s="105"/>
      <c r="F100" s="52">
        <f>F98</f>
        <v>1898.1515999999999</v>
      </c>
    </row>
    <row r="101" spans="1:9" ht="7.5" customHeight="1" x14ac:dyDescent="0.35">
      <c r="A101" s="95"/>
      <c r="B101" s="95"/>
      <c r="C101" s="95"/>
      <c r="D101" s="95"/>
      <c r="E101" s="95"/>
      <c r="F101" s="96"/>
    </row>
    <row r="102" spans="1:9" x14ac:dyDescent="0.35">
      <c r="A102" s="103" t="s">
        <v>83</v>
      </c>
      <c r="B102" s="104"/>
      <c r="C102" s="104"/>
      <c r="D102" s="104"/>
      <c r="E102" s="105"/>
      <c r="F102" s="37">
        <f>F$100+F$95+F$79+$F$29</f>
        <v>4651.3815999999997</v>
      </c>
      <c r="I102" s="69"/>
    </row>
    <row r="103" spans="1:9" ht="7.5" customHeight="1" x14ac:dyDescent="0.35">
      <c r="A103" s="95"/>
      <c r="B103" s="95"/>
      <c r="C103" s="95"/>
      <c r="D103" s="95"/>
      <c r="E103" s="95"/>
      <c r="F103" s="96"/>
    </row>
    <row r="104" spans="1:9" x14ac:dyDescent="0.35">
      <c r="A104" s="137" t="s">
        <v>131</v>
      </c>
      <c r="B104" s="138"/>
      <c r="C104" s="138"/>
      <c r="D104" s="139"/>
      <c r="E104" s="17" t="s">
        <v>57</v>
      </c>
      <c r="F104" s="1" t="s">
        <v>61</v>
      </c>
    </row>
    <row r="105" spans="1:9" ht="15" customHeight="1" x14ac:dyDescent="0.35">
      <c r="A105" s="61">
        <v>1</v>
      </c>
      <c r="B105" s="140" t="s">
        <v>62</v>
      </c>
      <c r="C105" s="141"/>
      <c r="D105" s="142"/>
      <c r="E105" s="6">
        <v>0.11799999999999999</v>
      </c>
      <c r="F105" s="143"/>
    </row>
    <row r="106" spans="1:9" ht="15" customHeight="1" x14ac:dyDescent="0.35">
      <c r="A106" s="61">
        <v>2</v>
      </c>
      <c r="B106" s="140" t="s">
        <v>63</v>
      </c>
      <c r="C106" s="141"/>
      <c r="D106" s="142"/>
      <c r="E106" s="6">
        <f>$C$11</f>
        <v>0.2</v>
      </c>
      <c r="F106" s="144"/>
    </row>
    <row r="107" spans="1:9" ht="15" customHeight="1" x14ac:dyDescent="0.35">
      <c r="A107" s="61">
        <v>3</v>
      </c>
      <c r="B107" s="140" t="s">
        <v>64</v>
      </c>
      <c r="C107" s="141"/>
      <c r="D107" s="142"/>
      <c r="E107" s="6">
        <f>$C$14</f>
        <v>1.6500000000000001E-2</v>
      </c>
      <c r="F107" s="144"/>
    </row>
    <row r="108" spans="1:9" ht="15" customHeight="1" x14ac:dyDescent="0.35">
      <c r="A108" s="61">
        <v>4</v>
      </c>
      <c r="B108" s="140" t="s">
        <v>65</v>
      </c>
      <c r="C108" s="141"/>
      <c r="D108" s="142"/>
      <c r="E108" s="6">
        <f>$C$13</f>
        <v>7.5999999999999998E-2</v>
      </c>
      <c r="F108" s="144"/>
    </row>
    <row r="109" spans="1:9" s="68" customFormat="1" ht="15" customHeight="1" x14ac:dyDescent="0.35">
      <c r="A109" s="61">
        <v>5</v>
      </c>
      <c r="B109" s="140" t="s">
        <v>5</v>
      </c>
      <c r="C109" s="141"/>
      <c r="D109" s="142"/>
      <c r="E109" s="6">
        <f>$C$15</f>
        <v>0.05</v>
      </c>
      <c r="F109" s="144"/>
    </row>
    <row r="110" spans="1:9" s="68" customFormat="1" ht="15" customHeight="1" x14ac:dyDescent="0.35">
      <c r="A110" s="9">
        <v>6</v>
      </c>
      <c r="B110" s="140" t="s">
        <v>102</v>
      </c>
      <c r="C110" s="141"/>
      <c r="D110" s="142"/>
      <c r="E110" s="20">
        <f>$C$16</f>
        <v>0</v>
      </c>
      <c r="F110" s="145"/>
    </row>
    <row r="111" spans="1:9" s="68" customFormat="1" ht="15" customHeight="1" x14ac:dyDescent="0.35">
      <c r="A111" s="103" t="s">
        <v>66</v>
      </c>
      <c r="B111" s="104"/>
      <c r="C111" s="104"/>
      <c r="D111" s="105"/>
      <c r="E111" s="18">
        <f>ROUND((1+E105)*(1+E106)/(1-E109-E108-E107-E110)-1,4)</f>
        <v>0.5645</v>
      </c>
      <c r="F111" s="52">
        <f>ROUND($E$111*F$102,2)</f>
        <v>2625.7</v>
      </c>
      <c r="I111" s="69"/>
    </row>
    <row r="112" spans="1:9" ht="7.5" customHeight="1" x14ac:dyDescent="0.35">
      <c r="A112" s="95"/>
      <c r="B112" s="95"/>
      <c r="C112" s="95"/>
      <c r="D112" s="95"/>
      <c r="E112" s="95"/>
      <c r="F112" s="96"/>
    </row>
    <row r="113" spans="1:7" s="68" customFormat="1" ht="15.75" customHeight="1" x14ac:dyDescent="0.35">
      <c r="A113" s="132" t="s">
        <v>67</v>
      </c>
      <c r="B113" s="133"/>
      <c r="C113" s="133"/>
      <c r="D113" s="133"/>
      <c r="E113" s="134"/>
      <c r="F113" s="19">
        <f>F102+F111</f>
        <v>7277.0815999999995</v>
      </c>
    </row>
    <row r="114" spans="1:7" ht="7.5" customHeight="1" x14ac:dyDescent="0.35">
      <c r="A114" s="95"/>
      <c r="B114" s="95"/>
      <c r="C114" s="95"/>
      <c r="D114" s="95"/>
      <c r="E114" s="95"/>
      <c r="F114" s="96"/>
    </row>
    <row r="115" spans="1:7" s="68" customFormat="1" ht="15.75" customHeight="1" x14ac:dyDescent="0.35">
      <c r="A115" s="132" t="s">
        <v>77</v>
      </c>
      <c r="B115" s="133"/>
      <c r="C115" s="133"/>
      <c r="D115" s="133"/>
      <c r="E115" s="134"/>
      <c r="F115" s="11">
        <f>F$113*$F$23</f>
        <v>21831.2448</v>
      </c>
    </row>
    <row r="116" spans="1:7" ht="7.5" customHeight="1" x14ac:dyDescent="0.35">
      <c r="A116" s="95"/>
      <c r="B116" s="95"/>
      <c r="C116" s="95"/>
      <c r="D116" s="95"/>
      <c r="E116" s="95"/>
      <c r="F116" s="96"/>
    </row>
    <row r="117" spans="1:7" s="68" customFormat="1" ht="15.75" customHeight="1" x14ac:dyDescent="0.35">
      <c r="A117" s="103" t="s">
        <v>68</v>
      </c>
      <c r="B117" s="104"/>
      <c r="C117" s="104"/>
      <c r="D117" s="104"/>
      <c r="E117" s="105"/>
      <c r="F117" s="52">
        <f>F$113/$C$84</f>
        <v>330.77643636363632</v>
      </c>
    </row>
    <row r="118" spans="1:7" ht="7.5" customHeight="1" x14ac:dyDescent="0.35">
      <c r="A118" s="95"/>
      <c r="B118" s="95"/>
      <c r="C118" s="95"/>
      <c r="D118" s="95"/>
      <c r="E118" s="95"/>
      <c r="F118" s="96"/>
    </row>
    <row r="119" spans="1:7" s="68" customFormat="1" ht="15" customHeight="1" x14ac:dyDescent="0.35">
      <c r="A119" s="170" t="s">
        <v>91</v>
      </c>
      <c r="B119" s="171"/>
      <c r="C119" s="171"/>
      <c r="D119" s="171"/>
      <c r="E119" s="171"/>
      <c r="F119" s="171"/>
    </row>
    <row r="120" spans="1:7" s="68" customFormat="1" ht="15" customHeight="1" x14ac:dyDescent="0.35">
      <c r="A120" s="61" t="s">
        <v>92</v>
      </c>
      <c r="B120" s="97" t="s">
        <v>108</v>
      </c>
      <c r="C120" s="98"/>
      <c r="D120" s="98"/>
      <c r="E120" s="99"/>
      <c r="F120" s="66">
        <f>$F$29*$F$23</f>
        <v>3520.8599999999997</v>
      </c>
    </row>
    <row r="121" spans="1:7" s="68" customFormat="1" ht="15" customHeight="1" x14ac:dyDescent="0.35">
      <c r="A121" s="61" t="s">
        <v>93</v>
      </c>
      <c r="B121" s="97" t="s">
        <v>39</v>
      </c>
      <c r="C121" s="98"/>
      <c r="D121" s="99"/>
      <c r="E121" s="65">
        <f>$E$44</f>
        <v>8.9300000000000004E-2</v>
      </c>
      <c r="F121" s="66">
        <f>ROUND(F$120*$E121,2)</f>
        <v>314.41000000000003</v>
      </c>
    </row>
    <row r="122" spans="1:7" s="68" customFormat="1" ht="15" customHeight="1" x14ac:dyDescent="0.35">
      <c r="A122" s="61" t="s">
        <v>94</v>
      </c>
      <c r="B122" s="97" t="s">
        <v>41</v>
      </c>
      <c r="C122" s="98"/>
      <c r="D122" s="99"/>
      <c r="E122" s="65">
        <f>$E$71</f>
        <v>8.9300000000000004E-2</v>
      </c>
      <c r="F122" s="66">
        <f>ROUND(F$120*$E122,2)</f>
        <v>314.41000000000003</v>
      </c>
    </row>
    <row r="123" spans="1:7" s="68" customFormat="1" ht="15" customHeight="1" x14ac:dyDescent="0.35">
      <c r="A123" s="61" t="s">
        <v>95</v>
      </c>
      <c r="B123" s="97" t="s">
        <v>96</v>
      </c>
      <c r="C123" s="98"/>
      <c r="D123" s="99"/>
      <c r="E123" s="65">
        <f>$E$45</f>
        <v>2.98E-2</v>
      </c>
      <c r="F123" s="66">
        <f>ROUND(F$120*$E123,2)</f>
        <v>104.92</v>
      </c>
    </row>
    <row r="124" spans="1:7" s="68" customFormat="1" ht="15" customHeight="1" x14ac:dyDescent="0.35">
      <c r="A124" s="61" t="s">
        <v>97</v>
      </c>
      <c r="B124" s="97" t="s">
        <v>101</v>
      </c>
      <c r="C124" s="99"/>
      <c r="D124" s="34" t="str">
        <f>CONCATENATE("Percentual:  ",TEXT($E$41,"0,00%"))</f>
        <v>Percentual:  34,80%</v>
      </c>
      <c r="E124" s="65">
        <f>ROUND($E$41*SUM(E121:E123),4)</f>
        <v>7.2499999999999995E-2</v>
      </c>
      <c r="F124" s="66">
        <f>ROUND(F$120*$E124,2)</f>
        <v>255.26</v>
      </c>
    </row>
    <row r="125" spans="1:7" s="68" customFormat="1" ht="15" customHeight="1" x14ac:dyDescent="0.35">
      <c r="A125" s="61" t="s">
        <v>98</v>
      </c>
      <c r="B125" s="97" t="s">
        <v>99</v>
      </c>
      <c r="C125" s="98"/>
      <c r="D125" s="99"/>
      <c r="E125" s="65">
        <f>$E$68</f>
        <v>4.3499999999999997E-2</v>
      </c>
      <c r="F125" s="66">
        <f>ROUND(F$120*$E125,2)</f>
        <v>153.16</v>
      </c>
    </row>
    <row r="126" spans="1:7" s="68" customFormat="1" ht="15" customHeight="1" x14ac:dyDescent="0.35">
      <c r="A126" s="39" t="s">
        <v>100</v>
      </c>
      <c r="B126" s="40"/>
      <c r="C126" s="40"/>
      <c r="D126" s="40"/>
      <c r="E126" s="35">
        <f t="shared" ref="E126:F126" si="0">SUM(E121:E125)</f>
        <v>0.32439999999999997</v>
      </c>
      <c r="F126" s="36">
        <f t="shared" si="0"/>
        <v>1142.1600000000001</v>
      </c>
      <c r="G126" s="69"/>
    </row>
    <row r="127" spans="1:7" ht="7.5" customHeight="1" x14ac:dyDescent="0.35">
      <c r="A127" s="95"/>
      <c r="B127" s="95"/>
      <c r="C127" s="95"/>
      <c r="D127" s="95"/>
      <c r="E127" s="95"/>
      <c r="F127" s="96"/>
    </row>
    <row r="128" spans="1:7" s="68" customFormat="1" ht="15" customHeight="1" x14ac:dyDescent="0.35">
      <c r="A128" s="92" t="s">
        <v>117</v>
      </c>
      <c r="B128" s="92"/>
      <c r="C128" s="92"/>
      <c r="D128" s="92"/>
      <c r="E128" s="92"/>
      <c r="F128" s="92"/>
    </row>
    <row r="129" spans="1:6" s="68" customFormat="1" ht="15" customHeight="1" x14ac:dyDescent="0.35">
      <c r="A129" s="56" t="s">
        <v>118</v>
      </c>
      <c r="B129" s="106" t="s">
        <v>119</v>
      </c>
      <c r="C129" s="107"/>
      <c r="D129" s="107"/>
      <c r="E129" s="108"/>
      <c r="F129" s="57" t="s">
        <v>120</v>
      </c>
    </row>
    <row r="130" spans="1:6" s="68" customFormat="1" ht="15" customHeight="1" x14ac:dyDescent="0.35">
      <c r="A130" s="61">
        <v>1</v>
      </c>
      <c r="B130" s="97" t="s">
        <v>121</v>
      </c>
      <c r="C130" s="98"/>
      <c r="D130" s="98"/>
      <c r="E130" s="99"/>
      <c r="F130" s="58">
        <f>$F$84/$C$18</f>
        <v>22.15</v>
      </c>
    </row>
    <row r="131" spans="1:6" s="68" customFormat="1" ht="15" customHeight="1" x14ac:dyDescent="0.35">
      <c r="A131" s="61">
        <v>2</v>
      </c>
      <c r="B131" s="97" t="s">
        <v>122</v>
      </c>
      <c r="C131" s="98"/>
      <c r="D131" s="98"/>
      <c r="E131" s="99"/>
      <c r="F131" s="58">
        <f>$F$85/$C$18</f>
        <v>5.7990909090909089</v>
      </c>
    </row>
    <row r="132" spans="1:6" s="68" customFormat="1" ht="15" customHeight="1" x14ac:dyDescent="0.35">
      <c r="A132" s="61">
        <v>3</v>
      </c>
      <c r="B132" s="97" t="s">
        <v>128</v>
      </c>
      <c r="C132" s="98"/>
      <c r="D132" s="98"/>
      <c r="E132" s="99"/>
      <c r="F132" s="58">
        <f>$F$100/$C$18</f>
        <v>86.279618181818179</v>
      </c>
    </row>
    <row r="133" spans="1:6" s="68" customFormat="1" ht="15" customHeight="1" x14ac:dyDescent="0.35">
      <c r="A133" s="61">
        <v>4</v>
      </c>
      <c r="B133" s="97" t="s">
        <v>123</v>
      </c>
      <c r="C133" s="98"/>
      <c r="D133" s="98"/>
      <c r="E133" s="99"/>
      <c r="F133" s="58">
        <f>ROUND($F$29*$E$77,2)/$C$18</f>
        <v>8.2422727272727272</v>
      </c>
    </row>
    <row r="134" spans="1:6" s="68" customFormat="1" ht="15" customHeight="1" x14ac:dyDescent="0.35">
      <c r="A134" s="100" t="s">
        <v>124</v>
      </c>
      <c r="B134" s="101"/>
      <c r="C134" s="101"/>
      <c r="D134" s="101"/>
      <c r="E134" s="102"/>
      <c r="F134" s="50">
        <f>SUM(F130:F133)</f>
        <v>122.47098181818183</v>
      </c>
    </row>
    <row r="135" spans="1:6" s="68" customFormat="1" ht="15" customHeight="1" x14ac:dyDescent="0.35">
      <c r="A135" s="61">
        <v>5</v>
      </c>
      <c r="B135" s="97" t="s">
        <v>125</v>
      </c>
      <c r="C135" s="99"/>
      <c r="D135" s="53" t="s">
        <v>57</v>
      </c>
      <c r="E135" s="55">
        <f>$C$17</f>
        <v>0.5645</v>
      </c>
      <c r="F135" s="49">
        <f>ROUND($E$135*$F$134,2)</f>
        <v>69.13</v>
      </c>
    </row>
    <row r="136" spans="1:6" s="68" customFormat="1" ht="15" customHeight="1" x14ac:dyDescent="0.35">
      <c r="A136" s="103" t="s">
        <v>126</v>
      </c>
      <c r="B136" s="104"/>
      <c r="C136" s="104"/>
      <c r="D136" s="104"/>
      <c r="E136" s="105"/>
      <c r="F136" s="52">
        <f>$F$134+$F$135</f>
        <v>191.60098181818182</v>
      </c>
    </row>
    <row r="137" spans="1:6" s="68" customFormat="1" ht="10.5" x14ac:dyDescent="0.35">
      <c r="A137" s="38"/>
      <c r="B137" s="38"/>
      <c r="C137" s="38"/>
      <c r="D137" s="38"/>
      <c r="E137" s="38"/>
      <c r="F137" s="38"/>
    </row>
    <row r="138" spans="1:6" s="68" customFormat="1" ht="15" customHeight="1" x14ac:dyDescent="0.35">
      <c r="A138" s="42" t="s">
        <v>127</v>
      </c>
      <c r="B138" s="43"/>
      <c r="C138" s="43"/>
      <c r="D138" s="43"/>
      <c r="E138" s="44"/>
      <c r="F138" s="52">
        <f>$F$136*$F$23</f>
        <v>574.80294545454547</v>
      </c>
    </row>
    <row r="139" spans="1:6" s="68" customFormat="1" ht="10.5" x14ac:dyDescent="0.35">
      <c r="A139" s="38"/>
      <c r="B139" s="38"/>
      <c r="C139" s="38"/>
      <c r="D139" s="38"/>
      <c r="E139" s="38"/>
      <c r="F139" s="38"/>
    </row>
    <row r="140" spans="1:6" s="68" customFormat="1" ht="10.5" x14ac:dyDescent="0.35">
      <c r="A140" s="124" t="s">
        <v>103</v>
      </c>
      <c r="B140" s="125"/>
      <c r="C140" s="125"/>
      <c r="D140" s="125"/>
      <c r="E140" s="125"/>
      <c r="F140" s="125"/>
    </row>
    <row r="141" spans="1:6" s="68" customFormat="1" ht="10.5" x14ac:dyDescent="0.35">
      <c r="A141" s="115"/>
      <c r="B141" s="116"/>
      <c r="C141" s="116"/>
      <c r="D141" s="116"/>
      <c r="E141" s="116"/>
      <c r="F141" s="116"/>
    </row>
    <row r="142" spans="1:6" s="68" customFormat="1" ht="17.25" customHeight="1" x14ac:dyDescent="0.35">
      <c r="A142" s="109" t="s">
        <v>130</v>
      </c>
      <c r="B142" s="110"/>
      <c r="C142" s="110"/>
      <c r="D142" s="110"/>
      <c r="E142" s="110"/>
      <c r="F142" s="110"/>
    </row>
    <row r="143" spans="1:6" s="68" customFormat="1" ht="17.25" customHeight="1" x14ac:dyDescent="0.35">
      <c r="A143" s="109" t="s">
        <v>104</v>
      </c>
      <c r="B143" s="110"/>
      <c r="C143" s="110"/>
      <c r="D143" s="110"/>
      <c r="E143" s="110"/>
      <c r="F143" s="110"/>
    </row>
    <row r="144" spans="1:6" s="68" customFormat="1" ht="17.25" customHeight="1" x14ac:dyDescent="0.35">
      <c r="A144" s="109" t="s">
        <v>105</v>
      </c>
      <c r="B144" s="110"/>
      <c r="C144" s="110"/>
      <c r="D144" s="110"/>
      <c r="E144" s="110"/>
      <c r="F144" s="110"/>
    </row>
    <row r="145" spans="1:6" s="68" customFormat="1" ht="17.25" customHeight="1" x14ac:dyDescent="0.35">
      <c r="A145" s="109" t="s">
        <v>138</v>
      </c>
      <c r="B145" s="110"/>
      <c r="C145" s="110"/>
      <c r="D145" s="110"/>
      <c r="E145" s="110"/>
      <c r="F145" s="110"/>
    </row>
    <row r="146" spans="1:6" s="68" customFormat="1" ht="42" customHeight="1" x14ac:dyDescent="0.35">
      <c r="A146" s="93" t="s">
        <v>139</v>
      </c>
      <c r="B146" s="94"/>
      <c r="C146" s="94"/>
      <c r="D146" s="94"/>
      <c r="E146" s="94"/>
      <c r="F146" s="94"/>
    </row>
    <row r="147" spans="1:6" s="68" customFormat="1" ht="42" customHeight="1" x14ac:dyDescent="0.35">
      <c r="A147" s="93" t="s">
        <v>140</v>
      </c>
      <c r="B147" s="94"/>
      <c r="C147" s="94"/>
      <c r="D147" s="94"/>
      <c r="E147" s="94"/>
      <c r="F147" s="94"/>
    </row>
    <row r="148" spans="1:6" s="68" customFormat="1" ht="15" customHeight="1" x14ac:dyDescent="0.35">
      <c r="A148" s="29"/>
      <c r="B148" s="29"/>
      <c r="C148" s="29"/>
      <c r="D148" s="29"/>
      <c r="E148" s="29"/>
      <c r="F148" s="29"/>
    </row>
    <row r="149" spans="1:6" s="68" customFormat="1" ht="10.5" x14ac:dyDescent="0.35"/>
    <row r="150" spans="1:6" s="68" customFormat="1" ht="10.5" x14ac:dyDescent="0.35"/>
    <row r="151" spans="1:6" s="68" customFormat="1" ht="10.5" x14ac:dyDescent="0.35"/>
    <row r="152" spans="1:6" s="68" customFormat="1" ht="10.5" x14ac:dyDescent="0.35"/>
    <row r="153" spans="1:6" s="68" customFormat="1" ht="10.5" x14ac:dyDescent="0.35"/>
    <row r="154" spans="1:6" s="68" customFormat="1" ht="10.5" x14ac:dyDescent="0.35"/>
    <row r="155" spans="1:6" s="68" customFormat="1" ht="10.5" x14ac:dyDescent="0.35"/>
    <row r="156" spans="1:6" s="68" customFormat="1" ht="11.25" customHeight="1" x14ac:dyDescent="0.35"/>
    <row r="157" spans="1:6" s="68" customFormat="1" ht="10.5" x14ac:dyDescent="0.35"/>
    <row r="158" spans="1:6" s="68" customFormat="1" ht="10.5" x14ac:dyDescent="0.35"/>
    <row r="159" spans="1:6" s="68" customFormat="1" ht="10.5" x14ac:dyDescent="0.35"/>
    <row r="160" spans="1:6" s="68" customFormat="1" ht="10.5" x14ac:dyDescent="0.35"/>
    <row r="161" s="68" customFormat="1" ht="10.5" x14ac:dyDescent="0.35"/>
    <row r="162" s="68" customFormat="1" ht="10.5" x14ac:dyDescent="0.35"/>
    <row r="163" s="68" customFormat="1" ht="10.5" x14ac:dyDescent="0.35"/>
    <row r="164" s="68" customFormat="1" ht="10.5" x14ac:dyDescent="0.35"/>
    <row r="165" s="68" customFormat="1" ht="10.5" x14ac:dyDescent="0.35"/>
    <row r="166" s="68" customFormat="1" ht="10.5" x14ac:dyDescent="0.35"/>
    <row r="167" s="68" customFormat="1" ht="10.5" x14ac:dyDescent="0.35"/>
    <row r="168" s="68" customFormat="1" ht="10.5" x14ac:dyDescent="0.35"/>
    <row r="169" s="68" customFormat="1" ht="10.5" x14ac:dyDescent="0.35"/>
    <row r="170" s="68" customFormat="1" ht="10.5" x14ac:dyDescent="0.35"/>
    <row r="171" s="68" customFormat="1" ht="10.5" x14ac:dyDescent="0.35"/>
    <row r="172" s="68" customFormat="1" ht="10.5" x14ac:dyDescent="0.35"/>
    <row r="173" s="68" customFormat="1" ht="10.5" x14ac:dyDescent="0.35"/>
    <row r="174" s="68" customFormat="1" ht="10.5" x14ac:dyDescent="0.35"/>
    <row r="175" s="68" customFormat="1" ht="10.5" x14ac:dyDescent="0.35"/>
    <row r="176" s="68" customFormat="1" ht="10.5" x14ac:dyDescent="0.35"/>
    <row r="177" s="68" customFormat="1" ht="10.5" x14ac:dyDescent="0.35"/>
    <row r="178" s="68" customFormat="1" ht="10.5" x14ac:dyDescent="0.35"/>
    <row r="179" s="68" customFormat="1" ht="10.5" x14ac:dyDescent="0.35"/>
    <row r="180" s="68" customFormat="1" ht="10.5" x14ac:dyDescent="0.35"/>
    <row r="181" s="68" customFormat="1" ht="10.5" x14ac:dyDescent="0.35"/>
    <row r="182" s="68" customFormat="1" ht="10.5" x14ac:dyDescent="0.35"/>
    <row r="183" s="68" customFormat="1" ht="10.5" x14ac:dyDescent="0.35"/>
    <row r="184" s="68" customFormat="1" ht="10.5" x14ac:dyDescent="0.35"/>
    <row r="185" s="68" customFormat="1" ht="10.5" x14ac:dyDescent="0.35"/>
    <row r="186" s="68" customFormat="1" ht="10.5" x14ac:dyDescent="0.35"/>
    <row r="187" s="68" customFormat="1" ht="10.5" x14ac:dyDescent="0.35"/>
    <row r="188" s="68" customFormat="1" ht="10.5" x14ac:dyDescent="0.35"/>
    <row r="189" s="68" customFormat="1" ht="10.5" x14ac:dyDescent="0.35"/>
    <row r="190" s="68" customFormat="1" ht="10.5" x14ac:dyDescent="0.35"/>
    <row r="191" s="68" customFormat="1" ht="10.5" x14ac:dyDescent="0.35"/>
    <row r="192" s="68" customFormat="1" ht="10.5" x14ac:dyDescent="0.35"/>
    <row r="193" s="68" customFormat="1" ht="10.5" x14ac:dyDescent="0.35"/>
    <row r="194" s="68" customFormat="1" ht="10.5" x14ac:dyDescent="0.35"/>
    <row r="195" s="68" customFormat="1" ht="10.5" x14ac:dyDescent="0.35"/>
    <row r="196" s="68" customFormat="1" ht="10.5" x14ac:dyDescent="0.35"/>
    <row r="197" s="68" customFormat="1" ht="10.5" x14ac:dyDescent="0.35"/>
    <row r="198" s="68" customFormat="1" ht="10.5" x14ac:dyDescent="0.35"/>
    <row r="199" s="68" customFormat="1" ht="10.5" x14ac:dyDescent="0.35"/>
    <row r="200" s="68" customFormat="1" ht="10.5" x14ac:dyDescent="0.35"/>
    <row r="201" s="68" customFormat="1" ht="10.5" x14ac:dyDescent="0.35"/>
    <row r="202" s="68" customFormat="1" ht="10.5" x14ac:dyDescent="0.35"/>
    <row r="203" s="68" customFormat="1" ht="10.5" x14ac:dyDescent="0.35"/>
    <row r="204" s="68" customFormat="1" ht="10.5" x14ac:dyDescent="0.35"/>
    <row r="205" s="68" customFormat="1" ht="10.5" x14ac:dyDescent="0.35"/>
    <row r="206" s="68" customFormat="1" ht="10.5" x14ac:dyDescent="0.35"/>
    <row r="207" s="68" customFormat="1" ht="10.5" x14ac:dyDescent="0.35"/>
    <row r="208" s="68" customFormat="1" ht="10.5" x14ac:dyDescent="0.35"/>
    <row r="209" s="68" customFormat="1" ht="10.5" x14ac:dyDescent="0.35"/>
    <row r="210" s="68" customFormat="1" ht="10.5" x14ac:dyDescent="0.35"/>
    <row r="211" s="68" customFormat="1" ht="10.5" x14ac:dyDescent="0.35"/>
    <row r="212" s="68" customFormat="1" ht="10.5" x14ac:dyDescent="0.35"/>
    <row r="213" s="68" customFormat="1" ht="10.5" x14ac:dyDescent="0.35"/>
    <row r="214" s="68" customFormat="1" ht="10.5" x14ac:dyDescent="0.35"/>
    <row r="215" s="68" customFormat="1" ht="10.5" x14ac:dyDescent="0.35"/>
    <row r="216" s="68" customFormat="1" ht="10.5" x14ac:dyDescent="0.35"/>
    <row r="217" s="68" customFormat="1" ht="10.5" x14ac:dyDescent="0.35"/>
    <row r="218" s="68" customFormat="1" ht="10.5" x14ac:dyDescent="0.35"/>
    <row r="219" s="68" customFormat="1" ht="10.5" x14ac:dyDescent="0.35"/>
    <row r="220" s="68" customFormat="1" ht="10.5" x14ac:dyDescent="0.35"/>
    <row r="221" s="68" customFormat="1" ht="10.5" x14ac:dyDescent="0.35"/>
    <row r="222" s="68" customFormat="1" ht="10.5" x14ac:dyDescent="0.35"/>
    <row r="223" s="68" customFormat="1" ht="10.5" x14ac:dyDescent="0.35"/>
    <row r="224" s="68" customFormat="1" ht="10.5" x14ac:dyDescent="0.35"/>
    <row r="225" s="68" customFormat="1" ht="10.5" x14ac:dyDescent="0.35"/>
    <row r="226" s="68" customFormat="1" ht="10.5" x14ac:dyDescent="0.35"/>
    <row r="227" s="68" customFormat="1" ht="10.5" x14ac:dyDescent="0.35"/>
    <row r="228" s="68" customFormat="1" ht="10.5" x14ac:dyDescent="0.35"/>
    <row r="229" s="68" customFormat="1" ht="10.5" x14ac:dyDescent="0.35"/>
    <row r="230" s="68" customFormat="1" ht="10.5" x14ac:dyDescent="0.35"/>
    <row r="231" s="68" customFormat="1" ht="10.5" x14ac:dyDescent="0.35"/>
    <row r="232" s="68" customFormat="1" ht="10.5" x14ac:dyDescent="0.35"/>
    <row r="233" s="68" customFormat="1" ht="10.5" x14ac:dyDescent="0.35"/>
    <row r="234" s="68" customFormat="1" ht="10.5" x14ac:dyDescent="0.35"/>
    <row r="235" s="68" customFormat="1" ht="10.5" x14ac:dyDescent="0.35"/>
    <row r="236" s="68" customFormat="1" ht="10.5" x14ac:dyDescent="0.35"/>
    <row r="237" s="68" customFormat="1" ht="10.5" x14ac:dyDescent="0.35"/>
    <row r="238" s="68" customFormat="1" ht="10.5" x14ac:dyDescent="0.35"/>
    <row r="239" s="68" customFormat="1" ht="10.5" x14ac:dyDescent="0.35"/>
    <row r="240" s="68" customFormat="1" ht="10.5" x14ac:dyDescent="0.35"/>
    <row r="241" s="68" customFormat="1" ht="10.5" x14ac:dyDescent="0.35"/>
    <row r="242" s="68" customFormat="1" ht="10.5" x14ac:dyDescent="0.35"/>
    <row r="243" s="68" customFormat="1" ht="10.5" x14ac:dyDescent="0.35"/>
    <row r="244" s="68" customFormat="1" ht="10.5" x14ac:dyDescent="0.35"/>
    <row r="245" s="68" customFormat="1" ht="10.5" x14ac:dyDescent="0.35"/>
    <row r="246" s="68" customFormat="1" ht="10.5" x14ac:dyDescent="0.35"/>
    <row r="247" s="68" customFormat="1" ht="10.5" x14ac:dyDescent="0.35"/>
    <row r="248" s="68" customFormat="1" ht="10.5" x14ac:dyDescent="0.35"/>
    <row r="249" s="68" customFormat="1" ht="10.5" x14ac:dyDescent="0.35"/>
    <row r="250" s="68" customFormat="1" ht="10.5" x14ac:dyDescent="0.35"/>
    <row r="251" s="68" customFormat="1" ht="10.5" x14ac:dyDescent="0.35"/>
    <row r="252" s="68" customFormat="1" ht="10.5" x14ac:dyDescent="0.35"/>
    <row r="253" s="68" customFormat="1" ht="10.5" x14ac:dyDescent="0.35"/>
    <row r="254" s="68" customFormat="1" ht="10.5" x14ac:dyDescent="0.35"/>
    <row r="255" s="68" customFormat="1" ht="10.5" x14ac:dyDescent="0.35"/>
    <row r="256" s="68" customFormat="1" ht="10.5" x14ac:dyDescent="0.35"/>
    <row r="257" s="68" customFormat="1" ht="10.5" x14ac:dyDescent="0.35"/>
    <row r="258" s="68" customFormat="1" ht="10.5" x14ac:dyDescent="0.35"/>
    <row r="259" s="68" customFormat="1" ht="10.5" x14ac:dyDescent="0.35"/>
    <row r="260" s="68" customFormat="1" ht="10.5" x14ac:dyDescent="0.35"/>
    <row r="261" s="68" customFormat="1" ht="10.5" x14ac:dyDescent="0.35"/>
    <row r="262" s="68" customFormat="1" ht="10.5" x14ac:dyDescent="0.35"/>
    <row r="263" s="68" customFormat="1" ht="10.5" x14ac:dyDescent="0.35"/>
    <row r="264" s="68" customFormat="1" ht="10.5" x14ac:dyDescent="0.35"/>
    <row r="265" s="68" customFormat="1" ht="10.5" x14ac:dyDescent="0.35"/>
    <row r="266" s="68" customFormat="1" ht="10.5" x14ac:dyDescent="0.35"/>
    <row r="267" s="68" customFormat="1" ht="10.5" x14ac:dyDescent="0.35"/>
    <row r="268" s="68" customFormat="1" ht="10.5" x14ac:dyDescent="0.35"/>
    <row r="269" s="68" customFormat="1" ht="10.5" x14ac:dyDescent="0.35"/>
    <row r="270" s="68" customFormat="1" ht="10.5" x14ac:dyDescent="0.35"/>
    <row r="271" s="68" customFormat="1" ht="10.5" x14ac:dyDescent="0.35"/>
    <row r="272" s="68" customFormat="1" ht="10.5" x14ac:dyDescent="0.35"/>
    <row r="273" s="68" customFormat="1" ht="10.5" x14ac:dyDescent="0.35"/>
    <row r="274" s="68" customFormat="1" ht="10.5" x14ac:dyDescent="0.35"/>
    <row r="275" s="68" customFormat="1" ht="10.5" x14ac:dyDescent="0.35"/>
    <row r="276" s="68" customFormat="1" ht="10.5" x14ac:dyDescent="0.35"/>
    <row r="277" s="68" customFormat="1" ht="10.5" x14ac:dyDescent="0.35"/>
    <row r="278" s="68" customFormat="1" ht="10.5" x14ac:dyDescent="0.35"/>
    <row r="279" s="68" customFormat="1" ht="10.5" x14ac:dyDescent="0.35"/>
    <row r="280" s="68" customFormat="1" ht="10.5" x14ac:dyDescent="0.35"/>
    <row r="281" s="68" customFormat="1" ht="10.5" x14ac:dyDescent="0.35"/>
    <row r="282" s="68" customFormat="1" ht="10.5" x14ac:dyDescent="0.35"/>
    <row r="283" s="68" customFormat="1" ht="10.5" x14ac:dyDescent="0.35"/>
    <row r="284" s="68" customFormat="1" ht="10.5" x14ac:dyDescent="0.35"/>
    <row r="285" s="68" customFormat="1" ht="10.5" x14ac:dyDescent="0.35"/>
    <row r="286" s="68" customFormat="1" ht="10.5" x14ac:dyDescent="0.35"/>
    <row r="287" s="68" customFormat="1" ht="10.5" x14ac:dyDescent="0.35"/>
    <row r="288" s="68" customFormat="1" ht="10.5" x14ac:dyDescent="0.35"/>
    <row r="289" s="68" customFormat="1" ht="10.5" x14ac:dyDescent="0.35"/>
    <row r="290" s="68" customFormat="1" ht="10.5" x14ac:dyDescent="0.35"/>
    <row r="291" s="68" customFormat="1" ht="10.5" x14ac:dyDescent="0.35"/>
    <row r="292" s="68" customFormat="1" ht="10.5" x14ac:dyDescent="0.35"/>
    <row r="293" s="68" customFormat="1" ht="10.5" x14ac:dyDescent="0.35"/>
    <row r="294" s="68" customFormat="1" ht="10.5" x14ac:dyDescent="0.35"/>
    <row r="295" s="68" customFormat="1" ht="10.5" x14ac:dyDescent="0.35"/>
    <row r="296" s="68" customFormat="1" ht="10.5" x14ac:dyDescent="0.35"/>
    <row r="297" s="68" customFormat="1" ht="10.5" x14ac:dyDescent="0.35"/>
    <row r="298" s="68" customFormat="1" ht="10.5" x14ac:dyDescent="0.35"/>
    <row r="299" s="68" customFormat="1" ht="10.5" x14ac:dyDescent="0.35"/>
    <row r="300" s="68" customFormat="1" ht="10.5" x14ac:dyDescent="0.35"/>
    <row r="301" s="68" customFormat="1" ht="10.5" x14ac:dyDescent="0.35"/>
    <row r="302" s="68" customFormat="1" ht="10.5" x14ac:dyDescent="0.35"/>
    <row r="303" s="68" customFormat="1" ht="10.5" x14ac:dyDescent="0.35"/>
    <row r="304" s="68" customFormat="1" ht="10.5" x14ac:dyDescent="0.35"/>
    <row r="305" s="68" customFormat="1" ht="10.5" x14ac:dyDescent="0.35"/>
    <row r="306" s="68" customFormat="1" ht="10.5" x14ac:dyDescent="0.35"/>
    <row r="307" s="68" customFormat="1" ht="10.5" x14ac:dyDescent="0.35"/>
    <row r="308" s="68" customFormat="1" ht="10.5" x14ac:dyDescent="0.35"/>
    <row r="309" s="68" customFormat="1" ht="10.5" x14ac:dyDescent="0.35"/>
    <row r="310" s="68" customFormat="1" ht="10.5" x14ac:dyDescent="0.35"/>
    <row r="311" s="68" customFormat="1" ht="10.5" x14ac:dyDescent="0.35"/>
    <row r="312" s="68" customFormat="1" ht="10.5" x14ac:dyDescent="0.35"/>
    <row r="313" s="68" customFormat="1" ht="10.5" x14ac:dyDescent="0.35"/>
    <row r="314" s="68" customFormat="1" ht="10.5" x14ac:dyDescent="0.35"/>
    <row r="315" s="68" customFormat="1" ht="10.5" x14ac:dyDescent="0.35"/>
    <row r="316" s="68" customFormat="1" ht="10.5" x14ac:dyDescent="0.35"/>
    <row r="317" s="68" customFormat="1" ht="10.5" x14ac:dyDescent="0.35"/>
    <row r="318" s="68" customFormat="1" ht="10.5" x14ac:dyDescent="0.35"/>
    <row r="319" s="68" customFormat="1" ht="10.5" x14ac:dyDescent="0.35"/>
    <row r="320" s="68" customFormat="1" ht="10.5" x14ac:dyDescent="0.35"/>
    <row r="321" s="68" customFormat="1" ht="10.5" x14ac:dyDescent="0.35"/>
    <row r="322" s="68" customFormat="1" ht="10.5" x14ac:dyDescent="0.35"/>
    <row r="323" s="68" customFormat="1" ht="10.5" x14ac:dyDescent="0.35"/>
    <row r="324" s="68" customFormat="1" ht="10.5" x14ac:dyDescent="0.35"/>
    <row r="325" s="68" customFormat="1" ht="10.5" x14ac:dyDescent="0.35"/>
    <row r="326" s="68" customFormat="1" ht="10.5" x14ac:dyDescent="0.35"/>
    <row r="327" s="68" customFormat="1" ht="10.5" x14ac:dyDescent="0.35"/>
    <row r="328" s="68" customFormat="1" ht="10.5" x14ac:dyDescent="0.35"/>
    <row r="329" s="68" customFormat="1" ht="10.5" x14ac:dyDescent="0.35"/>
    <row r="330" s="68" customFormat="1" ht="10.5" x14ac:dyDescent="0.35"/>
    <row r="331" s="68" customFormat="1" ht="10.5" x14ac:dyDescent="0.35"/>
    <row r="332" s="68" customFormat="1" ht="10.5" x14ac:dyDescent="0.35"/>
    <row r="333" s="68" customFormat="1" ht="10.5" x14ac:dyDescent="0.35"/>
    <row r="334" s="68" customFormat="1" ht="10.5" x14ac:dyDescent="0.35"/>
    <row r="335" s="68" customFormat="1" ht="10.5" x14ac:dyDescent="0.35"/>
    <row r="336" s="68" customFormat="1" ht="10.5" x14ac:dyDescent="0.35"/>
    <row r="337" s="68" customFormat="1" ht="10.5" x14ac:dyDescent="0.35"/>
    <row r="338" s="68" customFormat="1" ht="10.5" x14ac:dyDescent="0.35"/>
    <row r="339" s="68" customFormat="1" ht="10.5" x14ac:dyDescent="0.35"/>
    <row r="340" s="68" customFormat="1" ht="10.5" x14ac:dyDescent="0.35"/>
    <row r="341" s="68" customFormat="1" ht="10.5" x14ac:dyDescent="0.35"/>
    <row r="342" s="68" customFormat="1" ht="10.5" x14ac:dyDescent="0.35"/>
    <row r="343" s="68" customFormat="1" ht="10.5" x14ac:dyDescent="0.35"/>
    <row r="344" s="68" customFormat="1" ht="10.5" x14ac:dyDescent="0.35"/>
    <row r="345" s="68" customFormat="1" ht="10.5" x14ac:dyDescent="0.35"/>
    <row r="346" s="68" customFormat="1" ht="10.5" x14ac:dyDescent="0.35"/>
    <row r="347" s="68" customFormat="1" ht="10.5" x14ac:dyDescent="0.35"/>
    <row r="348" s="68" customFormat="1" ht="10.5" x14ac:dyDescent="0.35"/>
    <row r="349" s="68" customFormat="1" ht="10.5" x14ac:dyDescent="0.35"/>
    <row r="350" s="68" customFormat="1" ht="10.5" x14ac:dyDescent="0.35"/>
    <row r="351" s="68" customFormat="1" ht="10.5" x14ac:dyDescent="0.35"/>
    <row r="352" s="68" customFormat="1" ht="10.5" x14ac:dyDescent="0.35"/>
    <row r="353" s="68" customFormat="1" ht="10.5" x14ac:dyDescent="0.35"/>
    <row r="354" s="68" customFormat="1" ht="10.5" x14ac:dyDescent="0.35"/>
    <row r="355" s="68" customFormat="1" ht="10.5" x14ac:dyDescent="0.35"/>
    <row r="356" s="68" customFormat="1" ht="10.5" x14ac:dyDescent="0.35"/>
    <row r="357" s="68" customFormat="1" ht="10.5" x14ac:dyDescent="0.35"/>
    <row r="358" s="68" customFormat="1" ht="10.5" x14ac:dyDescent="0.35"/>
    <row r="359" s="68" customFormat="1" ht="10.5" x14ac:dyDescent="0.35"/>
    <row r="360" s="68" customFormat="1" ht="10.5" x14ac:dyDescent="0.35"/>
    <row r="361" s="68" customFormat="1" ht="10.5" x14ac:dyDescent="0.35"/>
    <row r="362" s="68" customFormat="1" ht="10.5" x14ac:dyDescent="0.35"/>
    <row r="363" s="68" customFormat="1" ht="10.5" x14ac:dyDescent="0.35"/>
    <row r="364" s="68" customFormat="1" ht="10.5" x14ac:dyDescent="0.35"/>
    <row r="365" s="68" customFormat="1" ht="10.5" x14ac:dyDescent="0.35"/>
    <row r="366" s="68" customFormat="1" ht="10.5" x14ac:dyDescent="0.35"/>
    <row r="367" s="68" customFormat="1" ht="10.5" x14ac:dyDescent="0.35"/>
    <row r="368" s="68" customFormat="1" ht="10.5" x14ac:dyDescent="0.35"/>
    <row r="369" s="68" customFormat="1" ht="10.5" x14ac:dyDescent="0.35"/>
    <row r="370" s="68" customFormat="1" ht="10.5" x14ac:dyDescent="0.35"/>
    <row r="371" s="68" customFormat="1" ht="10.5" x14ac:dyDescent="0.35"/>
    <row r="372" s="68" customFormat="1" ht="10.5" x14ac:dyDescent="0.35"/>
    <row r="373" s="68" customFormat="1" ht="10.5" x14ac:dyDescent="0.35"/>
    <row r="374" s="68" customFormat="1" ht="10.5" x14ac:dyDescent="0.35"/>
    <row r="375" s="68" customFormat="1" ht="10.5" x14ac:dyDescent="0.35"/>
    <row r="376" s="68" customFormat="1" ht="10.5" x14ac:dyDescent="0.35"/>
    <row r="377" s="68" customFormat="1" ht="10.5" x14ac:dyDescent="0.35"/>
    <row r="378" s="68" customFormat="1" ht="10.5" x14ac:dyDescent="0.35"/>
    <row r="379" s="68" customFormat="1" ht="10.5" x14ac:dyDescent="0.35"/>
    <row r="380" s="68" customFormat="1" ht="10.5" x14ac:dyDescent="0.35"/>
    <row r="381" s="68" customFormat="1" ht="10.5" x14ac:dyDescent="0.35"/>
    <row r="382" s="68" customFormat="1" ht="10.5" x14ac:dyDescent="0.35"/>
    <row r="383" s="68" customFormat="1" ht="10.5" x14ac:dyDescent="0.35"/>
    <row r="384" s="68" customFormat="1" ht="10.5" x14ac:dyDescent="0.35"/>
    <row r="385" s="68" customFormat="1" ht="10.5" x14ac:dyDescent="0.35"/>
    <row r="386" s="68" customFormat="1" ht="10.5" x14ac:dyDescent="0.35"/>
    <row r="387" s="68" customFormat="1" ht="10.5" x14ac:dyDescent="0.35"/>
    <row r="388" s="68" customFormat="1" ht="10.5" x14ac:dyDescent="0.35"/>
    <row r="389" s="68" customFormat="1" ht="10.5" x14ac:dyDescent="0.35"/>
    <row r="390" s="68" customFormat="1" ht="10.5" x14ac:dyDescent="0.35"/>
    <row r="391" s="68" customFormat="1" ht="10.5" x14ac:dyDescent="0.35"/>
    <row r="392" s="68" customFormat="1" ht="10.5" x14ac:dyDescent="0.35"/>
    <row r="393" s="68" customFormat="1" ht="10.5" x14ac:dyDescent="0.35"/>
    <row r="394" s="68" customFormat="1" ht="10.5" x14ac:dyDescent="0.35"/>
    <row r="395" s="68" customFormat="1" ht="10.5" x14ac:dyDescent="0.35"/>
    <row r="396" s="68" customFormat="1" ht="10.5" x14ac:dyDescent="0.35"/>
    <row r="397" s="68" customFormat="1" ht="10.5" x14ac:dyDescent="0.35"/>
    <row r="398" s="68" customFormat="1" ht="10.5" x14ac:dyDescent="0.35"/>
    <row r="399" s="68" customFormat="1" ht="10.5" x14ac:dyDescent="0.35"/>
    <row r="400" s="68" customFormat="1" ht="10.5" x14ac:dyDescent="0.35"/>
    <row r="401" s="68" customFormat="1" ht="10.5" x14ac:dyDescent="0.35"/>
    <row r="402" s="68" customFormat="1" ht="10.5" x14ac:dyDescent="0.35"/>
    <row r="403" s="68" customFormat="1" ht="10.5" x14ac:dyDescent="0.35"/>
    <row r="404" s="68" customFormat="1" ht="10.5" x14ac:dyDescent="0.35"/>
    <row r="405" s="68" customFormat="1" ht="10.5" x14ac:dyDescent="0.35"/>
    <row r="406" s="68" customFormat="1" ht="10.5" x14ac:dyDescent="0.35"/>
    <row r="407" s="68" customFormat="1" ht="10.5" x14ac:dyDescent="0.35"/>
    <row r="408" s="68" customFormat="1" ht="10.5" x14ac:dyDescent="0.35"/>
    <row r="409" s="68" customFormat="1" ht="10.5" x14ac:dyDescent="0.35"/>
    <row r="410" s="68" customFormat="1" ht="10.5" x14ac:dyDescent="0.35"/>
    <row r="411" s="68" customFormat="1" ht="10.5" x14ac:dyDescent="0.35"/>
    <row r="412" s="68" customFormat="1" ht="10.5" x14ac:dyDescent="0.35"/>
    <row r="413" s="68" customFormat="1" ht="10.5" x14ac:dyDescent="0.35"/>
    <row r="414" s="68" customFormat="1" ht="10.5" x14ac:dyDescent="0.35"/>
    <row r="415" s="68" customFormat="1" ht="10.5" x14ac:dyDescent="0.35"/>
    <row r="416" s="68" customFormat="1" ht="10.5" x14ac:dyDescent="0.35"/>
    <row r="417" s="68" customFormat="1" ht="10.5" x14ac:dyDescent="0.35"/>
    <row r="418" s="68" customFormat="1" ht="10.5" x14ac:dyDescent="0.35"/>
    <row r="419" s="68" customFormat="1" ht="10.5" x14ac:dyDescent="0.35"/>
    <row r="420" s="68" customFormat="1" ht="10.5" x14ac:dyDescent="0.35"/>
    <row r="421" s="68" customFormat="1" ht="10.5" x14ac:dyDescent="0.35"/>
    <row r="422" s="68" customFormat="1" ht="10.5" x14ac:dyDescent="0.35"/>
    <row r="423" s="68" customFormat="1" ht="10.5" x14ac:dyDescent="0.35"/>
    <row r="424" s="68" customFormat="1" ht="10.5" x14ac:dyDescent="0.35"/>
    <row r="425" s="68" customFormat="1" ht="10.5" x14ac:dyDescent="0.35"/>
    <row r="426" s="68" customFormat="1" ht="10.5" x14ac:dyDescent="0.35"/>
    <row r="427" s="68" customFormat="1" ht="10.5" x14ac:dyDescent="0.35"/>
    <row r="428" s="68" customFormat="1" ht="10.5" x14ac:dyDescent="0.35"/>
    <row r="429" s="68" customFormat="1" ht="10.5" x14ac:dyDescent="0.35"/>
    <row r="430" s="68" customFormat="1" ht="10.5" x14ac:dyDescent="0.35"/>
    <row r="431" s="68" customFormat="1" ht="10.5" x14ac:dyDescent="0.35"/>
    <row r="432" s="68" customFormat="1" ht="10.5" x14ac:dyDescent="0.35"/>
    <row r="433" s="68" customFormat="1" ht="10.5" x14ac:dyDescent="0.35"/>
    <row r="434" s="68" customFormat="1" ht="10.5" x14ac:dyDescent="0.35"/>
    <row r="435" s="68" customFormat="1" ht="10.5" x14ac:dyDescent="0.35"/>
    <row r="436" s="68" customFormat="1" ht="10.5" x14ac:dyDescent="0.35"/>
    <row r="437" s="68" customFormat="1" ht="10.5" x14ac:dyDescent="0.35"/>
    <row r="438" s="68" customFormat="1" ht="10.5" x14ac:dyDescent="0.35"/>
    <row r="439" s="68" customFormat="1" ht="10.5" x14ac:dyDescent="0.35"/>
    <row r="440" s="68" customFormat="1" ht="10.5" x14ac:dyDescent="0.35"/>
    <row r="441" s="68" customFormat="1" ht="10.5" x14ac:dyDescent="0.35"/>
    <row r="442" s="68" customFormat="1" ht="10.5" x14ac:dyDescent="0.35"/>
    <row r="443" s="68" customFormat="1" ht="10.5" x14ac:dyDescent="0.35"/>
    <row r="444" s="68" customFormat="1" ht="10.5" x14ac:dyDescent="0.35"/>
    <row r="445" s="68" customFormat="1" ht="10.5" x14ac:dyDescent="0.35"/>
    <row r="446" s="68" customFormat="1" ht="10.5" x14ac:dyDescent="0.35"/>
    <row r="447" s="68" customFormat="1" ht="10.5" x14ac:dyDescent="0.35"/>
    <row r="448" s="68" customFormat="1" ht="10.5" x14ac:dyDescent="0.35"/>
    <row r="449" s="68" customFormat="1" ht="10.5" x14ac:dyDescent="0.35"/>
    <row r="450" s="68" customFormat="1" ht="10.5" x14ac:dyDescent="0.35"/>
    <row r="451" s="68" customFormat="1" ht="10.5" x14ac:dyDescent="0.35"/>
    <row r="452" s="68" customFormat="1" ht="10.5" x14ac:dyDescent="0.35"/>
    <row r="453" s="68" customFormat="1" ht="10.5" x14ac:dyDescent="0.35"/>
    <row r="454" s="68" customFormat="1" ht="10.5" x14ac:dyDescent="0.35"/>
    <row r="455" s="68" customFormat="1" ht="10.5" x14ac:dyDescent="0.35"/>
    <row r="456" s="68" customFormat="1" ht="10.5" x14ac:dyDescent="0.35"/>
    <row r="457" s="68" customFormat="1" ht="10.5" x14ac:dyDescent="0.35"/>
    <row r="458" s="68" customFormat="1" ht="10.5" x14ac:dyDescent="0.35"/>
    <row r="459" s="68" customFormat="1" ht="10.5" x14ac:dyDescent="0.35"/>
    <row r="460" s="68" customFormat="1" ht="10.5" x14ac:dyDescent="0.35"/>
    <row r="461" s="68" customFormat="1" ht="10.5" x14ac:dyDescent="0.35"/>
    <row r="462" s="68" customFormat="1" ht="10.5" x14ac:dyDescent="0.35"/>
    <row r="463" s="68" customFormat="1" ht="10.5" x14ac:dyDescent="0.35"/>
    <row r="464" s="68" customFormat="1" ht="10.5" x14ac:dyDescent="0.35"/>
    <row r="465" s="68" customFormat="1" ht="10.5" x14ac:dyDescent="0.35"/>
    <row r="466" s="68" customFormat="1" ht="10.5" x14ac:dyDescent="0.35"/>
    <row r="467" s="68" customFormat="1" ht="10.5" x14ac:dyDescent="0.35"/>
    <row r="468" s="68" customFormat="1" ht="10.5" x14ac:dyDescent="0.35"/>
    <row r="469" s="68" customFormat="1" ht="10.5" x14ac:dyDescent="0.35"/>
    <row r="470" s="68" customFormat="1" ht="10.5" x14ac:dyDescent="0.35"/>
    <row r="471" s="68" customFormat="1" ht="10.5" x14ac:dyDescent="0.35"/>
    <row r="472" s="68" customFormat="1" ht="10.5" x14ac:dyDescent="0.35"/>
    <row r="473" s="68" customFormat="1" ht="10.5" x14ac:dyDescent="0.35"/>
    <row r="474" s="68" customFormat="1" ht="10.5" x14ac:dyDescent="0.35"/>
    <row r="475" s="68" customFormat="1" ht="10.5" x14ac:dyDescent="0.35"/>
    <row r="476" s="68" customFormat="1" ht="10.5" x14ac:dyDescent="0.35"/>
    <row r="477" s="68" customFormat="1" ht="10.5" x14ac:dyDescent="0.35"/>
    <row r="478" s="68" customFormat="1" ht="10.5" x14ac:dyDescent="0.35"/>
    <row r="479" s="68" customFormat="1" ht="10.5" x14ac:dyDescent="0.35"/>
    <row r="480" s="68" customFormat="1" ht="10.5" x14ac:dyDescent="0.35"/>
    <row r="481" s="68" customFormat="1" ht="10.5" x14ac:dyDescent="0.35"/>
    <row r="482" s="68" customFormat="1" ht="10.5" x14ac:dyDescent="0.35"/>
    <row r="483" s="68" customFormat="1" ht="10.5" x14ac:dyDescent="0.35"/>
    <row r="484" s="68" customFormat="1" ht="10.5" x14ac:dyDescent="0.35"/>
    <row r="485" s="68" customFormat="1" ht="10.5" x14ac:dyDescent="0.35"/>
    <row r="486" s="68" customFormat="1" ht="10.5" x14ac:dyDescent="0.35"/>
    <row r="487" s="68" customFormat="1" ht="10.5" x14ac:dyDescent="0.35"/>
    <row r="488" s="68" customFormat="1" ht="10.5" x14ac:dyDescent="0.35"/>
    <row r="489" s="68" customFormat="1" ht="10.5" x14ac:dyDescent="0.35"/>
    <row r="490" s="68" customFormat="1" ht="10.5" x14ac:dyDescent="0.35"/>
    <row r="491" s="68" customFormat="1" ht="10.5" x14ac:dyDescent="0.35"/>
    <row r="492" s="68" customFormat="1" ht="10.5" x14ac:dyDescent="0.35"/>
    <row r="493" s="68" customFormat="1" ht="10.5" x14ac:dyDescent="0.35"/>
    <row r="494" s="68" customFormat="1" ht="10.5" x14ac:dyDescent="0.35"/>
    <row r="495" s="68" customFormat="1" ht="10.5" x14ac:dyDescent="0.35"/>
    <row r="496" s="68" customFormat="1" ht="10.5" x14ac:dyDescent="0.35"/>
    <row r="497" s="68" customFormat="1" ht="10.5" x14ac:dyDescent="0.35"/>
    <row r="498" s="68" customFormat="1" ht="10.5" x14ac:dyDescent="0.35"/>
    <row r="499" s="68" customFormat="1" ht="10.5" x14ac:dyDescent="0.35"/>
    <row r="500" s="68" customFormat="1" ht="10.5" x14ac:dyDescent="0.35"/>
    <row r="501" s="68" customFormat="1" ht="10.5" x14ac:dyDescent="0.35"/>
    <row r="502" s="68" customFormat="1" ht="10.5" x14ac:dyDescent="0.35"/>
    <row r="503" s="68" customFormat="1" ht="10.5" x14ac:dyDescent="0.35"/>
    <row r="504" s="68" customFormat="1" ht="10.5" x14ac:dyDescent="0.35"/>
    <row r="505" s="68" customFormat="1" ht="10.5" x14ac:dyDescent="0.35"/>
    <row r="506" s="68" customFormat="1" ht="10.5" x14ac:dyDescent="0.35"/>
    <row r="507" s="68" customFormat="1" ht="10.5" x14ac:dyDescent="0.35"/>
    <row r="508" s="68" customFormat="1" ht="10.5" x14ac:dyDescent="0.35"/>
    <row r="509" s="68" customFormat="1" ht="10.5" x14ac:dyDescent="0.35"/>
    <row r="510" s="68" customFormat="1" ht="10.5" x14ac:dyDescent="0.35"/>
    <row r="511" s="68" customFormat="1" ht="10.5" x14ac:dyDescent="0.35"/>
    <row r="512" s="68" customFormat="1" ht="10.5" x14ac:dyDescent="0.35"/>
    <row r="513" s="68" customFormat="1" ht="10.5" x14ac:dyDescent="0.35"/>
    <row r="514" s="68" customFormat="1" ht="10.5" x14ac:dyDescent="0.35"/>
    <row r="515" s="68" customFormat="1" ht="10.5" x14ac:dyDescent="0.35"/>
    <row r="516" s="68" customFormat="1" ht="10.5" x14ac:dyDescent="0.35"/>
    <row r="517" s="68" customFormat="1" ht="10.5" x14ac:dyDescent="0.35"/>
    <row r="518" s="68" customFormat="1" ht="10.5" x14ac:dyDescent="0.35"/>
    <row r="519" s="68" customFormat="1" ht="10.5" x14ac:dyDescent="0.35"/>
    <row r="520" s="68" customFormat="1" ht="10.5" x14ac:dyDescent="0.35"/>
    <row r="521" s="68" customFormat="1" ht="10.5" x14ac:dyDescent="0.35"/>
    <row r="522" s="68" customFormat="1" ht="10.5" x14ac:dyDescent="0.35"/>
    <row r="523" s="68" customFormat="1" ht="10.5" x14ac:dyDescent="0.35"/>
    <row r="524" s="68" customFormat="1" ht="10.5" x14ac:dyDescent="0.35"/>
    <row r="525" s="68" customFormat="1" ht="10.5" x14ac:dyDescent="0.35"/>
    <row r="526" s="68" customFormat="1" ht="10.5" x14ac:dyDescent="0.35"/>
    <row r="527" s="68" customFormat="1" ht="10.5" x14ac:dyDescent="0.35"/>
    <row r="528" s="68" customFormat="1" ht="10.5" x14ac:dyDescent="0.35"/>
    <row r="529" s="68" customFormat="1" ht="10.5" x14ac:dyDescent="0.35"/>
    <row r="530" s="68" customFormat="1" ht="10.5" x14ac:dyDescent="0.35"/>
    <row r="531" s="68" customFormat="1" ht="10.5" x14ac:dyDescent="0.35"/>
    <row r="532" s="68" customFormat="1" ht="10.5" x14ac:dyDescent="0.35"/>
    <row r="533" s="68" customFormat="1" ht="10.5" x14ac:dyDescent="0.35"/>
    <row r="534" s="68" customFormat="1" ht="10.5" x14ac:dyDescent="0.35"/>
    <row r="535" s="68" customFormat="1" ht="10.5" x14ac:dyDescent="0.35"/>
    <row r="536" s="68" customFormat="1" ht="10.5" x14ac:dyDescent="0.35"/>
    <row r="537" s="68" customFormat="1" ht="10.5" x14ac:dyDescent="0.35"/>
    <row r="538" s="68" customFormat="1" ht="10.5" x14ac:dyDescent="0.35"/>
    <row r="539" s="68" customFormat="1" ht="10.5" x14ac:dyDescent="0.35"/>
    <row r="540" s="68" customFormat="1" ht="10.5" x14ac:dyDescent="0.35"/>
    <row r="541" s="68" customFormat="1" ht="10.5" x14ac:dyDescent="0.35"/>
    <row r="542" s="68" customFormat="1" ht="10.5" x14ac:dyDescent="0.35"/>
    <row r="543" s="68" customFormat="1" ht="10.5" x14ac:dyDescent="0.35"/>
    <row r="544" s="68" customFormat="1" ht="10.5" x14ac:dyDescent="0.35"/>
    <row r="545" s="68" customFormat="1" ht="10.5" x14ac:dyDescent="0.35"/>
    <row r="546" s="68" customFormat="1" ht="10.5" x14ac:dyDescent="0.35"/>
    <row r="547" s="68" customFormat="1" ht="10.5" x14ac:dyDescent="0.35"/>
    <row r="548" s="68" customFormat="1" ht="10.5" x14ac:dyDescent="0.35"/>
    <row r="549" s="68" customFormat="1" ht="10.5" x14ac:dyDescent="0.35"/>
    <row r="550" s="68" customFormat="1" ht="10.5" x14ac:dyDescent="0.35"/>
    <row r="551" s="68" customFormat="1" ht="10.5" x14ac:dyDescent="0.35"/>
    <row r="552" s="68" customFormat="1" ht="10.5" x14ac:dyDescent="0.35"/>
    <row r="553" s="68" customFormat="1" ht="10.5" x14ac:dyDescent="0.35"/>
    <row r="554" s="68" customFormat="1" ht="10.5" x14ac:dyDescent="0.35"/>
    <row r="555" s="68" customFormat="1" ht="10.5" x14ac:dyDescent="0.35"/>
    <row r="556" s="68" customFormat="1" ht="10.5" x14ac:dyDescent="0.35"/>
    <row r="557" s="68" customFormat="1" ht="10.5" x14ac:dyDescent="0.35"/>
    <row r="558" s="68" customFormat="1" ht="10.5" x14ac:dyDescent="0.35"/>
    <row r="559" s="68" customFormat="1" ht="10.5" x14ac:dyDescent="0.35"/>
    <row r="560" s="68" customFormat="1" ht="10.5" x14ac:dyDescent="0.35"/>
    <row r="561" s="68" customFormat="1" ht="10.5" x14ac:dyDescent="0.35"/>
    <row r="562" s="68" customFormat="1" ht="10.5" x14ac:dyDescent="0.35"/>
    <row r="563" s="68" customFormat="1" ht="10.5" x14ac:dyDescent="0.35"/>
    <row r="564" s="68" customFormat="1" ht="10.5" x14ac:dyDescent="0.35"/>
    <row r="565" s="68" customFormat="1" ht="10.5" x14ac:dyDescent="0.35"/>
    <row r="566" s="68" customFormat="1" ht="10.5" x14ac:dyDescent="0.35"/>
    <row r="567" s="68" customFormat="1" ht="10.5" x14ac:dyDescent="0.35"/>
    <row r="568" s="68" customFormat="1" ht="10.5" x14ac:dyDescent="0.35"/>
    <row r="569" s="68" customFormat="1" ht="10.5" x14ac:dyDescent="0.35"/>
    <row r="570" s="68" customFormat="1" ht="10.5" x14ac:dyDescent="0.35"/>
    <row r="571" s="68" customFormat="1" ht="10.5" x14ac:dyDescent="0.35"/>
    <row r="572" s="68" customFormat="1" ht="10.5" x14ac:dyDescent="0.35"/>
    <row r="573" s="68" customFormat="1" ht="10.5" x14ac:dyDescent="0.35"/>
    <row r="574" s="68" customFormat="1" ht="10.5" x14ac:dyDescent="0.35"/>
    <row r="575" s="68" customFormat="1" ht="10.5" x14ac:dyDescent="0.35"/>
    <row r="576" s="68" customFormat="1" ht="10.5" x14ac:dyDescent="0.35"/>
    <row r="577" spans="1:6" s="68" customFormat="1" ht="10.5" x14ac:dyDescent="0.35"/>
    <row r="578" spans="1:6" s="68" customFormat="1" ht="10.5" x14ac:dyDescent="0.35"/>
    <row r="579" spans="1:6" s="68" customFormat="1" x14ac:dyDescent="0.35">
      <c r="A579" s="59"/>
      <c r="B579" s="59"/>
      <c r="C579" s="59"/>
      <c r="D579" s="59"/>
      <c r="E579" s="59"/>
      <c r="F579" s="59"/>
    </row>
    <row r="580" spans="1:6" s="68" customFormat="1" x14ac:dyDescent="0.35">
      <c r="A580" s="59"/>
      <c r="B580" s="59"/>
      <c r="C580" s="59"/>
      <c r="D580" s="59"/>
      <c r="E580" s="59"/>
      <c r="F580" s="59"/>
    </row>
    <row r="581" spans="1:6" s="68" customFormat="1" x14ac:dyDescent="0.35">
      <c r="A581" s="59"/>
      <c r="B581" s="59"/>
      <c r="C581" s="59"/>
      <c r="D581" s="59"/>
      <c r="E581" s="59"/>
      <c r="F581" s="59"/>
    </row>
    <row r="582" spans="1:6" s="68" customFormat="1" x14ac:dyDescent="0.35">
      <c r="A582" s="59"/>
      <c r="B582" s="59"/>
      <c r="C582" s="59"/>
      <c r="D582" s="59"/>
      <c r="E582" s="59"/>
      <c r="F582" s="59"/>
    </row>
    <row r="583" spans="1:6" s="68" customFormat="1" x14ac:dyDescent="0.35">
      <c r="A583" s="59"/>
      <c r="B583" s="59"/>
      <c r="C583" s="59"/>
      <c r="D583" s="59"/>
      <c r="E583" s="59"/>
      <c r="F583" s="59"/>
    </row>
    <row r="584" spans="1:6" s="68" customFormat="1" x14ac:dyDescent="0.35">
      <c r="A584" s="59"/>
      <c r="B584" s="59"/>
      <c r="C584" s="59"/>
      <c r="D584" s="59"/>
      <c r="E584" s="59"/>
      <c r="F584" s="59"/>
    </row>
    <row r="585" spans="1:6" s="68" customFormat="1" x14ac:dyDescent="0.35">
      <c r="A585" s="59"/>
      <c r="B585" s="59"/>
      <c r="C585" s="59"/>
      <c r="D585" s="59"/>
      <c r="E585" s="59"/>
      <c r="F585" s="59"/>
    </row>
    <row r="586" spans="1:6" s="68" customFormat="1" x14ac:dyDescent="0.35">
      <c r="A586" s="59"/>
      <c r="B586" s="59"/>
      <c r="C586" s="59"/>
      <c r="D586" s="59"/>
      <c r="E586" s="59"/>
      <c r="F586" s="59"/>
    </row>
    <row r="587" spans="1:6" s="68" customFormat="1" x14ac:dyDescent="0.35">
      <c r="A587" s="59"/>
      <c r="B587" s="59"/>
      <c r="C587" s="59"/>
      <c r="D587" s="59"/>
      <c r="E587" s="59"/>
      <c r="F587" s="59"/>
    </row>
    <row r="588" spans="1:6" s="68" customFormat="1" x14ac:dyDescent="0.35">
      <c r="A588" s="59"/>
      <c r="B588" s="59"/>
      <c r="C588" s="59"/>
      <c r="D588" s="59"/>
      <c r="E588" s="59"/>
      <c r="F588" s="59"/>
    </row>
    <row r="589" spans="1:6" s="68" customFormat="1" x14ac:dyDescent="0.35">
      <c r="A589" s="59"/>
      <c r="B589" s="59"/>
      <c r="C589" s="59"/>
      <c r="D589" s="59"/>
      <c r="E589" s="59"/>
      <c r="F589" s="59"/>
    </row>
    <row r="590" spans="1:6" s="68" customFormat="1" x14ac:dyDescent="0.35">
      <c r="A590" s="59"/>
      <c r="B590" s="59"/>
      <c r="C590" s="59"/>
      <c r="D590" s="59"/>
      <c r="E590" s="59"/>
      <c r="F590" s="59"/>
    </row>
    <row r="591" spans="1:6" s="68" customFormat="1" x14ac:dyDescent="0.35">
      <c r="A591" s="59"/>
      <c r="B591" s="59"/>
      <c r="C591" s="59"/>
      <c r="D591" s="59"/>
      <c r="E591" s="59"/>
      <c r="F591" s="59"/>
    </row>
    <row r="592" spans="1:6" s="68" customFormat="1" x14ac:dyDescent="0.35">
      <c r="A592" s="59"/>
      <c r="B592" s="59"/>
      <c r="C592" s="59"/>
      <c r="D592" s="59"/>
      <c r="E592" s="59"/>
      <c r="F592" s="59"/>
    </row>
    <row r="593" spans="1:6" s="68" customFormat="1" x14ac:dyDescent="0.35">
      <c r="A593" s="59"/>
      <c r="B593" s="59"/>
      <c r="C593" s="59"/>
      <c r="D593" s="59"/>
      <c r="E593" s="59"/>
      <c r="F593" s="59"/>
    </row>
    <row r="594" spans="1:6" s="68" customFormat="1" x14ac:dyDescent="0.35">
      <c r="A594" s="59"/>
      <c r="B594" s="59"/>
      <c r="C594" s="59"/>
      <c r="D594" s="59"/>
      <c r="E594" s="59"/>
      <c r="F594" s="59"/>
    </row>
  </sheetData>
  <mergeCells count="165">
    <mergeCell ref="A1:F1"/>
    <mergeCell ref="A2:B2"/>
    <mergeCell ref="C2:F2"/>
    <mergeCell ref="A3:B3"/>
    <mergeCell ref="C3:F3"/>
    <mergeCell ref="A4:B4"/>
    <mergeCell ref="C4:F4"/>
    <mergeCell ref="A8:B8"/>
    <mergeCell ref="C8:D8"/>
    <mergeCell ref="A9:B9"/>
    <mergeCell ref="C9:F9"/>
    <mergeCell ref="A10:B10"/>
    <mergeCell ref="C10:F10"/>
    <mergeCell ref="A5:B5"/>
    <mergeCell ref="C5:F5"/>
    <mergeCell ref="A6:B6"/>
    <mergeCell ref="C6:F6"/>
    <mergeCell ref="A7:B7"/>
    <mergeCell ref="C7:F7"/>
    <mergeCell ref="A14:B14"/>
    <mergeCell ref="C14:F14"/>
    <mergeCell ref="A15:B15"/>
    <mergeCell ref="C15:F15"/>
    <mergeCell ref="A16:B16"/>
    <mergeCell ref="C16:F16"/>
    <mergeCell ref="A11:B11"/>
    <mergeCell ref="C11:F11"/>
    <mergeCell ref="A12:B12"/>
    <mergeCell ref="C12:F12"/>
    <mergeCell ref="A13:B13"/>
    <mergeCell ref="C13:F13"/>
    <mergeCell ref="A21:F21"/>
    <mergeCell ref="A22:B22"/>
    <mergeCell ref="A23:B23"/>
    <mergeCell ref="A24:F24"/>
    <mergeCell ref="A25:F25"/>
    <mergeCell ref="A26:E26"/>
    <mergeCell ref="A17:B17"/>
    <mergeCell ref="C17:F17"/>
    <mergeCell ref="A18:B18"/>
    <mergeCell ref="C18:F18"/>
    <mergeCell ref="A19:B19"/>
    <mergeCell ref="D19:F19"/>
    <mergeCell ref="B37:D37"/>
    <mergeCell ref="B38:D38"/>
    <mergeCell ref="B39:D39"/>
    <mergeCell ref="B40:D40"/>
    <mergeCell ref="A41:D41"/>
    <mergeCell ref="A42:F42"/>
    <mergeCell ref="A27:E27"/>
    <mergeCell ref="A28:E28"/>
    <mergeCell ref="A30:F30"/>
    <mergeCell ref="A31:F31"/>
    <mergeCell ref="A32:F32"/>
    <mergeCell ref="B33:D33"/>
    <mergeCell ref="F33:F41"/>
    <mergeCell ref="B34:D34"/>
    <mergeCell ref="B35:D35"/>
    <mergeCell ref="B36:D36"/>
    <mergeCell ref="A48:F48"/>
    <mergeCell ref="A49:F49"/>
    <mergeCell ref="B50:D50"/>
    <mergeCell ref="F50:F52"/>
    <mergeCell ref="B51:D51"/>
    <mergeCell ref="A52:D52"/>
    <mergeCell ref="A43:F43"/>
    <mergeCell ref="B44:D44"/>
    <mergeCell ref="F44:F47"/>
    <mergeCell ref="B45:D45"/>
    <mergeCell ref="B46:D46"/>
    <mergeCell ref="A47:D47"/>
    <mergeCell ref="A62:D62"/>
    <mergeCell ref="A63:F63"/>
    <mergeCell ref="A64:F64"/>
    <mergeCell ref="B65:D65"/>
    <mergeCell ref="F65:F68"/>
    <mergeCell ref="B66:D66"/>
    <mergeCell ref="B67:D67"/>
    <mergeCell ref="A68:D68"/>
    <mergeCell ref="A53:F53"/>
    <mergeCell ref="A54:F54"/>
    <mergeCell ref="B55:D55"/>
    <mergeCell ref="F55:F62"/>
    <mergeCell ref="B56:D56"/>
    <mergeCell ref="B57:D57"/>
    <mergeCell ref="B58:D58"/>
    <mergeCell ref="B59:D59"/>
    <mergeCell ref="B60:D60"/>
    <mergeCell ref="B61:D61"/>
    <mergeCell ref="A69:F69"/>
    <mergeCell ref="A70:F70"/>
    <mergeCell ref="B71:D71"/>
    <mergeCell ref="F71:F77"/>
    <mergeCell ref="B72:D72"/>
    <mergeCell ref="B73:D73"/>
    <mergeCell ref="B74:D74"/>
    <mergeCell ref="B75:D75"/>
    <mergeCell ref="B76:D76"/>
    <mergeCell ref="A77:D77"/>
    <mergeCell ref="C84:C85"/>
    <mergeCell ref="A86:F86"/>
    <mergeCell ref="B87:E87"/>
    <mergeCell ref="B88:E88"/>
    <mergeCell ref="B89:E89"/>
    <mergeCell ref="A90:F90"/>
    <mergeCell ref="A78:F78"/>
    <mergeCell ref="A79:D79"/>
    <mergeCell ref="A80:F80"/>
    <mergeCell ref="A81:E81"/>
    <mergeCell ref="A82:E82"/>
    <mergeCell ref="B83:C83"/>
    <mergeCell ref="A97:E97"/>
    <mergeCell ref="B98:E98"/>
    <mergeCell ref="B99:E99"/>
    <mergeCell ref="A100:E100"/>
    <mergeCell ref="A101:F101"/>
    <mergeCell ref="A102:E102"/>
    <mergeCell ref="B91:E91"/>
    <mergeCell ref="B92:C92"/>
    <mergeCell ref="B93:E93"/>
    <mergeCell ref="B94:E94"/>
    <mergeCell ref="A95:E95"/>
    <mergeCell ref="A96:F96"/>
    <mergeCell ref="A103:F103"/>
    <mergeCell ref="A104:D104"/>
    <mergeCell ref="B105:D105"/>
    <mergeCell ref="F105:F110"/>
    <mergeCell ref="B106:D106"/>
    <mergeCell ref="B107:D107"/>
    <mergeCell ref="B108:D108"/>
    <mergeCell ref="B109:D109"/>
    <mergeCell ref="B110:D110"/>
    <mergeCell ref="A117:E117"/>
    <mergeCell ref="A118:F118"/>
    <mergeCell ref="A119:F119"/>
    <mergeCell ref="B120:E120"/>
    <mergeCell ref="B121:D121"/>
    <mergeCell ref="B122:D122"/>
    <mergeCell ref="A111:D111"/>
    <mergeCell ref="A112:F112"/>
    <mergeCell ref="A113:E113"/>
    <mergeCell ref="A114:F114"/>
    <mergeCell ref="A115:E115"/>
    <mergeCell ref="A116:F116"/>
    <mergeCell ref="B130:E130"/>
    <mergeCell ref="B131:E131"/>
    <mergeCell ref="B132:E132"/>
    <mergeCell ref="B133:E133"/>
    <mergeCell ref="A134:E134"/>
    <mergeCell ref="B135:C135"/>
    <mergeCell ref="B123:D123"/>
    <mergeCell ref="B124:C124"/>
    <mergeCell ref="B125:D125"/>
    <mergeCell ref="A127:F127"/>
    <mergeCell ref="A128:F128"/>
    <mergeCell ref="B129:E129"/>
    <mergeCell ref="A145:F145"/>
    <mergeCell ref="A146:F146"/>
    <mergeCell ref="A147:F147"/>
    <mergeCell ref="A136:E136"/>
    <mergeCell ref="A140:F140"/>
    <mergeCell ref="A141:F141"/>
    <mergeCell ref="A142:F142"/>
    <mergeCell ref="A143:F143"/>
    <mergeCell ref="A144:F144"/>
  </mergeCells>
  <conditionalFormatting sqref="E92">
    <cfRule type="cellIs" dxfId="54" priority="69" operator="greaterThan">
      <formula>0</formula>
    </cfRule>
  </conditionalFormatting>
  <conditionalFormatting sqref="D84">
    <cfRule type="cellIs" dxfId="53" priority="75" operator="greaterThan">
      <formula>0</formula>
    </cfRule>
  </conditionalFormatting>
  <conditionalFormatting sqref="D85">
    <cfRule type="cellIs" dxfId="52" priority="74" operator="greaterThan">
      <formula>0</formula>
    </cfRule>
  </conditionalFormatting>
  <conditionalFormatting sqref="E84">
    <cfRule type="cellIs" dxfId="51" priority="73" operator="greaterThan">
      <formula>0</formula>
    </cfRule>
  </conditionalFormatting>
  <conditionalFormatting sqref="F87:F88">
    <cfRule type="cellIs" dxfId="50" priority="72" operator="greaterThan">
      <formula>0</formula>
    </cfRule>
  </conditionalFormatting>
  <conditionalFormatting sqref="F89">
    <cfRule type="cellIs" dxfId="49" priority="71" operator="greaterThan">
      <formula>0</formula>
    </cfRule>
  </conditionalFormatting>
  <conditionalFormatting sqref="F91">
    <cfRule type="cellIs" dxfId="48" priority="70" operator="greaterThan">
      <formula>0</formula>
    </cfRule>
  </conditionalFormatting>
  <conditionalFormatting sqref="F93">
    <cfRule type="cellIs" dxfId="47" priority="68" operator="greaterThan">
      <formula>0</formula>
    </cfRule>
  </conditionalFormatting>
  <conditionalFormatting sqref="F94">
    <cfRule type="cellIs" dxfId="46" priority="67" operator="greaterThan">
      <formula>0</formula>
    </cfRule>
  </conditionalFormatting>
  <conditionalFormatting sqref="F99">
    <cfRule type="cellIs" dxfId="45" priority="65" operator="greaterThan">
      <formula>0</formula>
    </cfRule>
  </conditionalFormatting>
  <conditionalFormatting sqref="F98">
    <cfRule type="cellIs" dxfId="44" priority="66" operator="greaterThan">
      <formula>0</formula>
    </cfRule>
  </conditionalFormatting>
  <conditionalFormatting sqref="E50">
    <cfRule type="cellIs" dxfId="43" priority="64" operator="greaterThan">
      <formula>0</formula>
    </cfRule>
  </conditionalFormatting>
  <conditionalFormatting sqref="E73">
    <cfRule type="cellIs" dxfId="42" priority="63" operator="greaterThan">
      <formula>0</formula>
    </cfRule>
  </conditionalFormatting>
  <conditionalFormatting sqref="A23">
    <cfRule type="notContainsBlanks" dxfId="41" priority="59">
      <formula>LEN(TRIM(A23))&gt;0</formula>
    </cfRule>
  </conditionalFormatting>
  <conditionalFormatting sqref="F23">
    <cfRule type="cellIs" dxfId="40" priority="58" operator="greaterThan">
      <formula>0</formula>
    </cfRule>
  </conditionalFormatting>
  <conditionalFormatting sqref="F27:F28">
    <cfRule type="cellIs" dxfId="39" priority="53" operator="greaterThan">
      <formula>0</formula>
    </cfRule>
  </conditionalFormatting>
  <conditionalFormatting sqref="F23 F27:F28 E50 E73 E84 D84:D85 F87:F89 F91 E92 F93:F94 F98:F99">
    <cfRule type="cellIs" dxfId="38" priority="48" operator="equal">
      <formula>0</formula>
    </cfRule>
  </conditionalFormatting>
  <conditionalFormatting sqref="A23">
    <cfRule type="containsBlanks" dxfId="37" priority="47">
      <formula>LEN(TRIM(A23))=0</formula>
    </cfRule>
  </conditionalFormatting>
  <conditionalFormatting sqref="F23:G23 F27:F28 E50 E73 E84 D84:D85 F87:F89 F91 E92 F93:F94 F98:F99">
    <cfRule type="cellIs" dxfId="36" priority="46" operator="greaterThan">
      <formula>0</formula>
    </cfRule>
  </conditionalFormatting>
  <conditionalFormatting sqref="C19">
    <cfRule type="cellIs" dxfId="35" priority="41" operator="greaterThan">
      <formula>0</formula>
    </cfRule>
  </conditionalFormatting>
  <conditionalFormatting sqref="C19">
    <cfRule type="cellIs" dxfId="34" priority="43" operator="greaterThan">
      <formula>0</formula>
    </cfRule>
  </conditionalFormatting>
  <conditionalFormatting sqref="C19">
    <cfRule type="cellIs" dxfId="33" priority="42" operator="equal">
      <formula>0</formula>
    </cfRule>
  </conditionalFormatting>
  <conditionalFormatting sqref="C2">
    <cfRule type="notContainsBlanks" dxfId="32" priority="40">
      <formula>LEN(TRIM(C2))&gt;0</formula>
    </cfRule>
  </conditionalFormatting>
  <conditionalFormatting sqref="C3:C7">
    <cfRule type="notContainsBlanks" dxfId="31" priority="39">
      <formula>LEN(TRIM(C3))&gt;0</formula>
    </cfRule>
  </conditionalFormatting>
  <conditionalFormatting sqref="C2:F7">
    <cfRule type="notContainsBlanks" dxfId="30" priority="37">
      <formula>LEN(TRIM(C2))&gt;0</formula>
    </cfRule>
    <cfRule type="containsBlanks" dxfId="29" priority="38">
      <formula>LEN(TRIM(C2))=0</formula>
    </cfRule>
  </conditionalFormatting>
  <conditionalFormatting sqref="C17">
    <cfRule type="cellIs" dxfId="28" priority="32" operator="greaterThan">
      <formula>0</formula>
    </cfRule>
  </conditionalFormatting>
  <conditionalFormatting sqref="C18">
    <cfRule type="cellIs" dxfId="27" priority="33" operator="greaterThan">
      <formula>0</formula>
    </cfRule>
  </conditionalFormatting>
  <conditionalFormatting sqref="C9">
    <cfRule type="cellIs" dxfId="26" priority="20" operator="greaterThan">
      <formula>0</formula>
    </cfRule>
  </conditionalFormatting>
  <conditionalFormatting sqref="C12">
    <cfRule type="cellIs" dxfId="25" priority="19" operator="greaterThan">
      <formula>0</formula>
    </cfRule>
  </conditionalFormatting>
  <conditionalFormatting sqref="C16">
    <cfRule type="cellIs" dxfId="24" priority="16" operator="greaterThan">
      <formula>0</formula>
    </cfRule>
  </conditionalFormatting>
  <conditionalFormatting sqref="C10">
    <cfRule type="cellIs" dxfId="23" priority="18" operator="greaterThan">
      <formula>0</formula>
    </cfRule>
  </conditionalFormatting>
  <conditionalFormatting sqref="C15">
    <cfRule type="cellIs" dxfId="22" priority="17" operator="greaterThan">
      <formula>0</formula>
    </cfRule>
  </conditionalFormatting>
  <conditionalFormatting sqref="C12:F12">
    <cfRule type="notContainsBlanks" dxfId="21" priority="14">
      <formula>LEN(TRIM(C12))&gt;0</formula>
    </cfRule>
    <cfRule type="containsBlanks" dxfId="20" priority="15">
      <formula>LEN(TRIM(C12))=0</formula>
    </cfRule>
  </conditionalFormatting>
  <conditionalFormatting sqref="C9:F10 C15:F16">
    <cfRule type="cellIs" dxfId="19" priority="12" operator="greaterThan">
      <formula>0</formula>
    </cfRule>
    <cfRule type="cellIs" dxfId="18" priority="13" operator="equal">
      <formula>0</formula>
    </cfRule>
  </conditionalFormatting>
  <conditionalFormatting sqref="C13:C14">
    <cfRule type="cellIs" dxfId="17" priority="11" operator="greaterThan">
      <formula>0</formula>
    </cfRule>
  </conditionalFormatting>
  <conditionalFormatting sqref="C13:F14">
    <cfRule type="cellIs" dxfId="16" priority="9" operator="greaterThan">
      <formula>0</formula>
    </cfRule>
    <cfRule type="cellIs" dxfId="15" priority="10" operator="equal">
      <formula>0</formula>
    </cfRule>
  </conditionalFormatting>
  <conditionalFormatting sqref="C11">
    <cfRule type="cellIs" dxfId="14" priority="8" operator="greaterThan">
      <formula>0</formula>
    </cfRule>
  </conditionalFormatting>
  <conditionalFormatting sqref="C11:F11">
    <cfRule type="cellIs" dxfId="13" priority="6" operator="greaterThan">
      <formula>0</formula>
    </cfRule>
    <cfRule type="cellIs" dxfId="12" priority="7" operator="equal">
      <formula>0</formula>
    </cfRule>
  </conditionalFormatting>
  <conditionalFormatting sqref="C8">
    <cfRule type="cellIs" dxfId="11" priority="4" operator="greaterThan">
      <formula>0</formula>
    </cfRule>
  </conditionalFormatting>
  <dataValidations count="2">
    <dataValidation type="list" showInputMessage="1" showErrorMessage="1" sqref="C12" xr:uid="{26F0BC26-8D1D-4DA2-B7C1-CB9F33948924}">
      <formula1>$H$2:$H$4</formula1>
    </dataValidation>
    <dataValidation type="decimal" operator="greaterThanOrEqual" allowBlank="1" showInputMessage="1" showErrorMessage="1" sqref="E92 D19 E124 E73 F93:F94 F87:F89 F91 D84:D85 E84 C13:C19 D14:F16 C9:C11 D10:D11 E11:F11" xr:uid="{00000000-0002-0000-0200-000001000000}">
      <formula1>0</formula1>
    </dataValidation>
  </dataValidations>
  <pageMargins left="1.2204724409448819" right="0.43307086614173229" top="0.78740157480314965" bottom="0.31496062992125984" header="0.31496062992125984" footer="0.31496062992125984"/>
  <pageSetup paperSize="9" scale="64" orientation="portrait" r:id="rId1"/>
  <headerFooter>
    <oddHeader xml:space="preserve">&amp;C&amp;"-,Negrito"&amp;12PLANILHA DE COMPOSIÇÃO DE CUSTOS DE MÃO DE OBRA
</oddHeader>
    <oddFooter>&amp;R&amp;9&amp;P/&amp;N</oddFooter>
  </headerFooter>
  <rowBreaks count="2" manualBreakCount="2">
    <brk id="52" max="5" man="1"/>
    <brk id="118" max="5" man="1"/>
  </rowBreaks>
  <ignoredErrors>
    <ignoredError sqref="A87:E87 A90:F90 A88:E88 A89:E89" unlockedFormula="1"/>
  </ignoredErrors>
  <drawing r:id="rId2"/>
  <legacyDrawing r:id="rId3"/>
  <oleObjects>
    <mc:AlternateContent xmlns:mc="http://schemas.openxmlformats.org/markup-compatibility/2006">
      <mc:Choice Requires="x14">
        <oleObject progId="Equation.3" shapeId="8193" r:id="rId4">
          <objectPr defaultSize="0" autoPict="0" r:id="rId5">
            <anchor moveWithCells="1" sizeWithCells="1">
              <from>
                <xdr:col>2</xdr:col>
                <xdr:colOff>831850</xdr:colOff>
                <xdr:row>146</xdr:row>
                <xdr:rowOff>114300</xdr:rowOff>
              </from>
              <to>
                <xdr:col>3</xdr:col>
                <xdr:colOff>781050</xdr:colOff>
                <xdr:row>146</xdr:row>
                <xdr:rowOff>438150</xdr:rowOff>
              </to>
            </anchor>
          </objectPr>
        </oleObject>
      </mc:Choice>
      <mc:Fallback>
        <oleObject progId="Equation.3" shapeId="8193" r:id="rId4"/>
      </mc:Fallback>
    </mc:AlternateContent>
    <mc:AlternateContent xmlns:mc="http://schemas.openxmlformats.org/markup-compatibility/2006">
      <mc:Choice Requires="x14">
        <oleObject progId="Equation.3" shapeId="8194" r:id="rId6">
          <objectPr defaultSize="0" autoPict="0" r:id="rId7">
            <anchor moveWithCells="1" sizeWithCells="1">
              <from>
                <xdr:col>2</xdr:col>
                <xdr:colOff>850900</xdr:colOff>
                <xdr:row>145</xdr:row>
                <xdr:rowOff>133350</xdr:rowOff>
              </from>
              <to>
                <xdr:col>3</xdr:col>
                <xdr:colOff>755650</xdr:colOff>
                <xdr:row>145</xdr:row>
                <xdr:rowOff>450850</xdr:rowOff>
              </to>
            </anchor>
          </objectPr>
        </oleObject>
      </mc:Choice>
      <mc:Fallback>
        <oleObject progId="Equation.3" shapeId="8194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EM436"/>
  <sheetViews>
    <sheetView showGridLines="0" zoomScaleNormal="100" workbookViewId="0">
      <selection activeCell="B25" sqref="B25"/>
    </sheetView>
  </sheetViews>
  <sheetFormatPr defaultRowHeight="14.5" x14ac:dyDescent="0.35"/>
  <cols>
    <col min="1" max="1" width="10" style="59" bestFit="1" customWidth="1"/>
    <col min="2" max="2" width="24.81640625" customWidth="1"/>
    <col min="3" max="3" width="11.36328125" customWidth="1"/>
    <col min="4" max="4" width="10.7265625" style="59" bestFit="1" customWidth="1"/>
    <col min="5" max="5" width="10.7265625" style="59" customWidth="1"/>
    <col min="6" max="6" width="12.453125" customWidth="1"/>
    <col min="7" max="7" width="12.1796875" customWidth="1"/>
    <col min="8" max="8" width="8.7265625" customWidth="1"/>
    <col min="9" max="9" width="9" style="59" customWidth="1"/>
    <col min="10" max="10" width="8.81640625" style="59" customWidth="1"/>
    <col min="11" max="11" width="9.54296875" bestFit="1" customWidth="1"/>
    <col min="12" max="12" width="14.26953125" customWidth="1"/>
    <col min="13" max="13" width="10.81640625" style="68" bestFit="1" customWidth="1"/>
    <col min="14" max="14" width="10.54296875" style="68" bestFit="1" customWidth="1"/>
    <col min="15" max="143" width="9.1796875" style="68"/>
  </cols>
  <sheetData>
    <row r="1" spans="1:143" ht="52.5" x14ac:dyDescent="0.35">
      <c r="A1" s="64" t="s">
        <v>118</v>
      </c>
      <c r="B1" s="64" t="s">
        <v>110</v>
      </c>
      <c r="C1" s="64" t="s">
        <v>8</v>
      </c>
      <c r="D1" s="64" t="s">
        <v>141</v>
      </c>
      <c r="E1" s="64" t="s">
        <v>37</v>
      </c>
      <c r="F1" s="64" t="s">
        <v>133</v>
      </c>
      <c r="G1" s="64" t="s">
        <v>134</v>
      </c>
      <c r="H1" s="60" t="s">
        <v>132</v>
      </c>
      <c r="I1" s="60" t="s">
        <v>137</v>
      </c>
      <c r="J1" s="60" t="s">
        <v>147</v>
      </c>
      <c r="K1" s="60" t="s">
        <v>148</v>
      </c>
      <c r="L1" s="67" t="s">
        <v>129</v>
      </c>
    </row>
    <row r="2" spans="1:143" hidden="1" x14ac:dyDescent="0.35">
      <c r="A2" s="70"/>
      <c r="B2" s="63"/>
      <c r="C2" s="27"/>
      <c r="D2" s="27"/>
      <c r="E2" s="63"/>
      <c r="F2" s="63"/>
      <c r="G2" s="63"/>
      <c r="H2" s="63"/>
      <c r="I2" s="27"/>
      <c r="J2" s="63"/>
      <c r="K2" s="71"/>
      <c r="L2" s="71"/>
      <c r="M2" s="69"/>
    </row>
    <row r="3" spans="1:143" ht="9.5" hidden="1" customHeight="1" x14ac:dyDescent="0.35">
      <c r="A3" s="70"/>
      <c r="B3" s="63"/>
      <c r="C3" s="27"/>
      <c r="D3" s="27"/>
      <c r="E3" s="63"/>
      <c r="F3" s="63"/>
      <c r="G3" s="63"/>
      <c r="H3" s="63"/>
      <c r="I3" s="27"/>
      <c r="J3" s="63"/>
      <c r="K3" s="71"/>
      <c r="L3" s="71"/>
      <c r="M3" s="69"/>
    </row>
    <row r="4" spans="1:143" s="59" customFormat="1" x14ac:dyDescent="0.35">
      <c r="A4" s="70">
        <v>1</v>
      </c>
      <c r="B4" s="63" t="s">
        <v>163</v>
      </c>
      <c r="C4" s="27">
        <v>3</v>
      </c>
      <c r="D4" s="27" t="s">
        <v>160</v>
      </c>
      <c r="E4" s="63">
        <v>1</v>
      </c>
      <c r="F4" s="63">
        <f>Auxiliares!$E$41*Auxiliares!$F$29</f>
        <v>408.41976000000005</v>
      </c>
      <c r="G4" s="63">
        <f>Auxiliares!$F$102-F4-E4</f>
        <v>4241.9618399999999</v>
      </c>
      <c r="H4" s="63">
        <f>Auxiliares!$F$111</f>
        <v>2625.7</v>
      </c>
      <c r="I4" s="27">
        <v>8</v>
      </c>
      <c r="J4" s="63">
        <f t="shared" ref="J4" si="0">ROUND(SUM(E4:H4),2)</f>
        <v>7277.08</v>
      </c>
      <c r="K4" s="71">
        <f t="shared" ref="K4" si="1">ROUND(J4*C4,2)</f>
        <v>21831.24</v>
      </c>
      <c r="L4" s="181">
        <f t="shared" ref="L4" si="2">ROUND(K4*I4,2)</f>
        <v>174649.92</v>
      </c>
      <c r="M4" s="69"/>
      <c r="N4" s="69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</row>
    <row r="5" spans="1:143" x14ac:dyDescent="0.35">
      <c r="A5" s="177" t="s">
        <v>149</v>
      </c>
      <c r="B5" s="178"/>
      <c r="C5" s="178"/>
      <c r="D5" s="178"/>
      <c r="E5" s="178"/>
      <c r="F5" s="178"/>
      <c r="G5" s="178"/>
      <c r="H5" s="178"/>
      <c r="I5" s="178"/>
      <c r="J5" s="179"/>
      <c r="K5" s="72">
        <f>ROUND(SUM(K2:K4),2)</f>
        <v>21831.24</v>
      </c>
      <c r="L5" s="72">
        <f>ROUND(SUM(L2:L4),2)</f>
        <v>174649.92</v>
      </c>
      <c r="M5" s="69"/>
      <c r="N5" s="69"/>
    </row>
    <row r="6" spans="1:143" x14ac:dyDescent="0.3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7" spans="1:143" s="59" customFormat="1" ht="15" customHeight="1" x14ac:dyDescent="0.35">
      <c r="A7" s="83"/>
      <c r="B7" s="83"/>
      <c r="C7" s="83"/>
      <c r="D7" s="83"/>
      <c r="E7" s="83"/>
      <c r="F7" s="83"/>
      <c r="G7" s="83"/>
      <c r="H7" s="83"/>
      <c r="I7" s="83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  <c r="DE7" s="68"/>
      <c r="DF7" s="68"/>
      <c r="DG7" s="68"/>
      <c r="DH7" s="68"/>
      <c r="DI7" s="68"/>
      <c r="DJ7" s="68"/>
      <c r="DK7" s="68"/>
      <c r="DL7" s="68"/>
      <c r="DM7" s="68"/>
      <c r="DN7" s="68"/>
      <c r="DO7" s="68"/>
      <c r="DP7" s="68"/>
      <c r="DQ7" s="68"/>
      <c r="DR7" s="68"/>
      <c r="DS7" s="68"/>
      <c r="DT7" s="68"/>
      <c r="DU7" s="68"/>
      <c r="DV7" s="68"/>
      <c r="DW7" s="68"/>
      <c r="DX7" s="68"/>
      <c r="DY7" s="68"/>
      <c r="DZ7" s="68"/>
      <c r="EA7" s="68"/>
      <c r="EB7" s="68"/>
      <c r="EC7" s="68"/>
      <c r="ED7" s="68"/>
      <c r="EE7" s="68"/>
      <c r="EF7" s="68"/>
      <c r="EG7" s="68"/>
      <c r="EH7" s="68"/>
      <c r="EI7" s="68"/>
      <c r="EJ7" s="68"/>
      <c r="EK7" s="68"/>
    </row>
    <row r="8" spans="1:143" s="68" customFormat="1" ht="10.5" x14ac:dyDescent="0.35">
      <c r="A8" s="24"/>
      <c r="B8" s="24"/>
      <c r="C8" s="24"/>
      <c r="D8" s="24"/>
      <c r="E8" s="24"/>
      <c r="F8" s="24"/>
      <c r="G8" s="24"/>
      <c r="H8" s="24"/>
      <c r="I8" s="24"/>
    </row>
    <row r="9" spans="1:143" s="68" customFormat="1" ht="10.5" x14ac:dyDescent="0.35">
      <c r="A9" s="24"/>
      <c r="B9" s="85"/>
      <c r="C9" s="24"/>
      <c r="D9" s="24"/>
      <c r="E9" s="24"/>
      <c r="F9" s="24"/>
      <c r="G9" s="24"/>
      <c r="H9" s="24"/>
      <c r="I9" s="24"/>
    </row>
    <row r="10" spans="1:143" s="68" customFormat="1" ht="10.5" x14ac:dyDescent="0.35">
      <c r="A10" s="24"/>
      <c r="B10" s="24"/>
      <c r="C10" s="24"/>
      <c r="D10" s="24"/>
      <c r="E10" s="24"/>
      <c r="F10" s="24"/>
      <c r="G10" s="24"/>
      <c r="H10" s="24"/>
      <c r="I10" s="24"/>
    </row>
    <row r="11" spans="1:143" s="68" customFormat="1" ht="10.5" x14ac:dyDescent="0.35">
      <c r="A11" s="24"/>
      <c r="B11" s="24"/>
      <c r="C11" s="24"/>
      <c r="D11" s="24"/>
      <c r="E11" s="24"/>
      <c r="F11" s="24"/>
      <c r="G11" s="24"/>
      <c r="H11" s="24"/>
      <c r="I11" s="24"/>
    </row>
    <row r="12" spans="1:143" s="68" customFormat="1" ht="10.5" x14ac:dyDescent="0.35">
      <c r="A12" s="24"/>
      <c r="B12" s="24"/>
      <c r="C12" s="24"/>
      <c r="D12" s="24"/>
      <c r="E12" s="24"/>
      <c r="F12" s="24"/>
      <c r="G12" s="24"/>
      <c r="H12" s="24"/>
      <c r="I12" s="24"/>
    </row>
    <row r="13" spans="1:143" s="68" customFormat="1" ht="10.5" x14ac:dyDescent="0.35">
      <c r="A13" s="24"/>
      <c r="B13" s="24"/>
      <c r="C13" s="24"/>
      <c r="D13" s="24"/>
      <c r="E13" s="24"/>
      <c r="F13" s="24"/>
      <c r="G13" s="24"/>
      <c r="H13" s="24"/>
      <c r="I13" s="24"/>
    </row>
    <row r="14" spans="1:143" s="68" customFormat="1" ht="10.5" x14ac:dyDescent="0.35">
      <c r="A14" s="24"/>
      <c r="B14" s="24"/>
      <c r="C14" s="24"/>
      <c r="D14" s="24"/>
      <c r="E14" s="24"/>
      <c r="F14" s="24"/>
      <c r="G14" s="24"/>
      <c r="H14" s="24"/>
      <c r="I14" s="24"/>
    </row>
    <row r="15" spans="1:143" s="68" customFormat="1" ht="10.5" x14ac:dyDescent="0.35">
      <c r="A15" s="24"/>
      <c r="B15" s="24"/>
      <c r="C15" s="24"/>
      <c r="D15" s="24"/>
      <c r="E15" s="24"/>
      <c r="F15" s="24"/>
      <c r="G15" s="24"/>
      <c r="H15" s="24"/>
      <c r="I15" s="24"/>
    </row>
    <row r="16" spans="1:143" s="68" customFormat="1" ht="10.5" x14ac:dyDescent="0.35">
      <c r="A16" s="24"/>
      <c r="B16" s="24"/>
      <c r="C16" s="24"/>
      <c r="D16" s="24"/>
      <c r="E16" s="24"/>
      <c r="F16" s="24"/>
      <c r="G16" s="24"/>
      <c r="H16" s="24"/>
      <c r="I16" s="24"/>
    </row>
    <row r="17" spans="1:11" s="68" customFormat="1" ht="10.5" x14ac:dyDescent="0.35">
      <c r="A17" s="24"/>
      <c r="B17" s="24"/>
      <c r="C17" s="24"/>
      <c r="D17" s="24"/>
      <c r="E17" s="24"/>
      <c r="F17" s="24"/>
      <c r="G17" s="24"/>
      <c r="H17" s="24"/>
      <c r="I17" s="24"/>
    </row>
    <row r="18" spans="1:11" s="68" customFormat="1" ht="10.5" x14ac:dyDescent="0.35">
      <c r="A18" s="29"/>
      <c r="B18" s="29"/>
      <c r="C18" s="24"/>
      <c r="D18" s="24"/>
      <c r="E18" s="24"/>
      <c r="F18" s="24"/>
      <c r="G18" s="24"/>
      <c r="H18" s="24"/>
      <c r="I18" s="24"/>
      <c r="J18" s="24"/>
      <c r="K18" s="24"/>
    </row>
    <row r="19" spans="1:11" s="68" customFormat="1" ht="10.5" x14ac:dyDescent="0.35">
      <c r="C19" s="24"/>
      <c r="D19" s="24"/>
      <c r="E19" s="24"/>
      <c r="F19" s="24"/>
      <c r="G19" s="24"/>
      <c r="H19" s="24"/>
      <c r="I19" s="24"/>
      <c r="J19" s="24"/>
      <c r="K19" s="24"/>
    </row>
    <row r="20" spans="1:11" s="68" customFormat="1" ht="10.5" x14ac:dyDescent="0.35">
      <c r="C20" s="85"/>
      <c r="D20" s="85"/>
      <c r="E20" s="24"/>
      <c r="F20" s="24"/>
      <c r="G20" s="24"/>
      <c r="H20" s="24"/>
      <c r="I20" s="24"/>
      <c r="J20" s="24"/>
      <c r="K20" s="24"/>
    </row>
    <row r="21" spans="1:11" s="68" customFormat="1" ht="10.5" x14ac:dyDescent="0.35">
      <c r="C21" s="24"/>
      <c r="D21" s="24"/>
      <c r="E21" s="24"/>
      <c r="F21" s="24"/>
      <c r="G21" s="24"/>
      <c r="H21" s="24"/>
      <c r="I21" s="24"/>
      <c r="J21" s="24"/>
      <c r="K21" s="24"/>
    </row>
    <row r="22" spans="1:11" s="68" customFormat="1" ht="10.5" x14ac:dyDescent="0.35">
      <c r="C22" s="24"/>
      <c r="D22" s="24"/>
      <c r="E22" s="24"/>
      <c r="F22" s="24"/>
      <c r="G22" s="24"/>
      <c r="H22" s="24"/>
      <c r="I22" s="24"/>
      <c r="J22" s="24"/>
      <c r="K22" s="24"/>
    </row>
    <row r="23" spans="1:11" s="68" customFormat="1" ht="10.5" x14ac:dyDescent="0.35">
      <c r="C23" s="24"/>
      <c r="D23" s="24"/>
      <c r="E23" s="24"/>
      <c r="F23" s="24"/>
      <c r="G23" s="24"/>
      <c r="H23" s="24"/>
      <c r="I23" s="24"/>
      <c r="J23" s="24"/>
      <c r="K23" s="24"/>
    </row>
    <row r="24" spans="1:11" s="68" customFormat="1" ht="10.5" x14ac:dyDescent="0.35">
      <c r="C24" s="24"/>
      <c r="D24" s="24"/>
      <c r="E24" s="24"/>
      <c r="F24" s="24"/>
      <c r="G24" s="24"/>
      <c r="H24" s="24"/>
      <c r="I24" s="24"/>
      <c r="J24" s="24"/>
      <c r="K24" s="24"/>
    </row>
    <row r="25" spans="1:11" s="68" customFormat="1" ht="10.5" x14ac:dyDescent="0.35">
      <c r="C25" s="24"/>
      <c r="D25" s="24"/>
      <c r="E25" s="24"/>
      <c r="F25" s="24"/>
      <c r="G25" s="24"/>
      <c r="H25" s="24"/>
      <c r="I25" s="24"/>
      <c r="J25" s="24"/>
      <c r="K25" s="24"/>
    </row>
    <row r="26" spans="1:11" s="68" customFormat="1" ht="10.5" x14ac:dyDescent="0.35">
      <c r="C26" s="24"/>
      <c r="D26" s="24"/>
      <c r="E26" s="24"/>
      <c r="F26" s="24"/>
      <c r="G26" s="24"/>
      <c r="H26" s="24"/>
      <c r="I26" s="24"/>
      <c r="J26" s="24"/>
      <c r="K26" s="24"/>
    </row>
    <row r="27" spans="1:11" s="68" customFormat="1" ht="10.5" x14ac:dyDescent="0.35">
      <c r="C27" s="24"/>
      <c r="D27" s="24"/>
      <c r="E27" s="24"/>
      <c r="F27" s="24"/>
      <c r="G27" s="24"/>
      <c r="H27" s="24"/>
      <c r="I27" s="24"/>
      <c r="J27" s="24"/>
      <c r="K27" s="24"/>
    </row>
    <row r="28" spans="1:11" s="68" customFormat="1" ht="10.5" x14ac:dyDescent="0.35">
      <c r="C28" s="24"/>
      <c r="D28" s="24"/>
      <c r="E28" s="24"/>
      <c r="F28" s="24"/>
      <c r="G28" s="24"/>
      <c r="H28" s="24"/>
      <c r="I28" s="24"/>
      <c r="J28" s="24"/>
      <c r="K28" s="24"/>
    </row>
    <row r="29" spans="1:11" s="68" customFormat="1" ht="10.5" x14ac:dyDescent="0.35">
      <c r="C29" s="24"/>
      <c r="D29" s="24"/>
      <c r="E29" s="24"/>
      <c r="F29" s="24"/>
      <c r="G29" s="24"/>
      <c r="H29" s="24"/>
      <c r="I29" s="24"/>
      <c r="J29" s="24"/>
      <c r="K29" s="24"/>
    </row>
    <row r="30" spans="1:11" s="68" customFormat="1" ht="10.5" x14ac:dyDescent="0.35">
      <c r="C30" s="24"/>
      <c r="D30" s="24"/>
      <c r="E30" s="24"/>
      <c r="F30" s="24"/>
      <c r="G30" s="24"/>
      <c r="H30" s="24"/>
      <c r="I30" s="24"/>
      <c r="J30" s="24"/>
      <c r="K30" s="24"/>
    </row>
    <row r="31" spans="1:11" s="68" customFormat="1" ht="10.5" x14ac:dyDescent="0.35">
      <c r="C31" s="24"/>
      <c r="D31" s="24"/>
      <c r="E31" s="24"/>
      <c r="F31" s="24"/>
      <c r="G31" s="24"/>
      <c r="H31" s="24"/>
      <c r="I31" s="24"/>
      <c r="J31" s="24"/>
      <c r="K31" s="24"/>
    </row>
    <row r="32" spans="1:11" s="68" customFormat="1" ht="10.5" x14ac:dyDescent="0.35">
      <c r="C32" s="24"/>
      <c r="D32" s="24"/>
      <c r="E32" s="24"/>
      <c r="F32" s="24"/>
      <c r="G32" s="24"/>
      <c r="H32" s="24"/>
      <c r="I32" s="24"/>
      <c r="J32" s="24"/>
      <c r="K32" s="24"/>
    </row>
    <row r="33" spans="3:11" s="68" customFormat="1" ht="10.5" x14ac:dyDescent="0.35">
      <c r="C33" s="84" t="e">
        <f>#REF!-L5</f>
        <v>#REF!</v>
      </c>
      <c r="D33" s="29"/>
      <c r="E33" s="29"/>
      <c r="F33" s="29"/>
      <c r="G33" s="29"/>
      <c r="H33" s="29"/>
      <c r="I33" s="29"/>
      <c r="J33" s="29"/>
      <c r="K33" s="29"/>
    </row>
    <row r="34" spans="3:11" s="68" customFormat="1" ht="10.5" x14ac:dyDescent="0.35"/>
    <row r="35" spans="3:11" s="68" customFormat="1" ht="10.5" x14ac:dyDescent="0.35"/>
    <row r="36" spans="3:11" s="68" customFormat="1" ht="10.5" x14ac:dyDescent="0.35"/>
    <row r="37" spans="3:11" s="68" customFormat="1" ht="10.5" x14ac:dyDescent="0.35"/>
    <row r="38" spans="3:11" s="68" customFormat="1" ht="10.5" x14ac:dyDescent="0.35"/>
    <row r="39" spans="3:11" s="68" customFormat="1" ht="10.5" x14ac:dyDescent="0.35"/>
    <row r="40" spans="3:11" s="68" customFormat="1" ht="10.5" x14ac:dyDescent="0.35"/>
    <row r="41" spans="3:11" s="68" customFormat="1" ht="10.5" x14ac:dyDescent="0.35"/>
    <row r="42" spans="3:11" s="68" customFormat="1" ht="10.5" x14ac:dyDescent="0.35"/>
    <row r="43" spans="3:11" s="68" customFormat="1" ht="10.5" x14ac:dyDescent="0.35"/>
    <row r="44" spans="3:11" s="68" customFormat="1" ht="10.5" x14ac:dyDescent="0.35"/>
    <row r="45" spans="3:11" s="68" customFormat="1" ht="10.5" x14ac:dyDescent="0.35"/>
    <row r="46" spans="3:11" s="68" customFormat="1" ht="10.5" x14ac:dyDescent="0.35"/>
    <row r="47" spans="3:11" s="68" customFormat="1" ht="10.5" x14ac:dyDescent="0.35"/>
    <row r="48" spans="3:11" s="68" customFormat="1" ht="10.5" x14ac:dyDescent="0.35"/>
    <row r="49" s="68" customFormat="1" ht="10.5" x14ac:dyDescent="0.35"/>
    <row r="50" s="68" customFormat="1" ht="10.5" x14ac:dyDescent="0.35"/>
    <row r="51" s="68" customFormat="1" ht="10.5" x14ac:dyDescent="0.35"/>
    <row r="52" s="68" customFormat="1" ht="10.5" x14ac:dyDescent="0.35"/>
    <row r="53" s="68" customFormat="1" ht="10.5" x14ac:dyDescent="0.35"/>
    <row r="54" s="68" customFormat="1" ht="10.5" x14ac:dyDescent="0.35"/>
    <row r="55" s="68" customFormat="1" ht="10.5" x14ac:dyDescent="0.35"/>
    <row r="56" s="68" customFormat="1" ht="10.5" x14ac:dyDescent="0.35"/>
    <row r="57" s="68" customFormat="1" ht="10.5" x14ac:dyDescent="0.35"/>
    <row r="58" s="68" customFormat="1" ht="10.5" x14ac:dyDescent="0.35"/>
    <row r="59" s="68" customFormat="1" ht="10.5" x14ac:dyDescent="0.35"/>
    <row r="60" s="68" customFormat="1" ht="10.5" x14ac:dyDescent="0.35"/>
    <row r="61" s="68" customFormat="1" ht="10.5" x14ac:dyDescent="0.35"/>
    <row r="62" s="68" customFormat="1" ht="10.5" x14ac:dyDescent="0.35"/>
    <row r="63" s="68" customFormat="1" ht="10.5" x14ac:dyDescent="0.35"/>
    <row r="64" s="68" customFormat="1" ht="10.5" x14ac:dyDescent="0.35"/>
    <row r="65" s="68" customFormat="1" ht="10.5" x14ac:dyDescent="0.35"/>
    <row r="66" s="68" customFormat="1" ht="10.5" x14ac:dyDescent="0.35"/>
    <row r="67" s="68" customFormat="1" ht="10.5" x14ac:dyDescent="0.35"/>
    <row r="68" s="68" customFormat="1" ht="10.5" x14ac:dyDescent="0.35"/>
    <row r="69" s="68" customFormat="1" ht="10.5" x14ac:dyDescent="0.35"/>
    <row r="70" s="68" customFormat="1" ht="10.5" x14ac:dyDescent="0.35"/>
    <row r="71" s="68" customFormat="1" ht="10.5" x14ac:dyDescent="0.35"/>
    <row r="72" s="68" customFormat="1" ht="10.5" x14ac:dyDescent="0.35"/>
    <row r="73" s="68" customFormat="1" ht="10.5" x14ac:dyDescent="0.35"/>
    <row r="74" s="68" customFormat="1" ht="10.5" x14ac:dyDescent="0.35"/>
    <row r="75" s="68" customFormat="1" ht="10.5" x14ac:dyDescent="0.35"/>
    <row r="76" s="68" customFormat="1" ht="10.5" x14ac:dyDescent="0.35"/>
    <row r="77" s="68" customFormat="1" ht="10.5" x14ac:dyDescent="0.35"/>
    <row r="78" s="68" customFormat="1" ht="10.5" x14ac:dyDescent="0.35"/>
    <row r="79" s="68" customFormat="1" ht="10.5" x14ac:dyDescent="0.35"/>
    <row r="80" s="68" customFormat="1" ht="10.5" x14ac:dyDescent="0.35"/>
    <row r="81" s="68" customFormat="1" ht="10.5" x14ac:dyDescent="0.35"/>
    <row r="82" s="68" customFormat="1" ht="10.5" x14ac:dyDescent="0.35"/>
    <row r="83" s="68" customFormat="1" ht="10.5" x14ac:dyDescent="0.35"/>
    <row r="84" s="68" customFormat="1" ht="10.5" x14ac:dyDescent="0.35"/>
    <row r="85" s="68" customFormat="1" ht="10.5" x14ac:dyDescent="0.35"/>
    <row r="86" s="68" customFormat="1" ht="10.5" x14ac:dyDescent="0.35"/>
    <row r="87" s="68" customFormat="1" ht="10.5" x14ac:dyDescent="0.35"/>
    <row r="88" s="68" customFormat="1" ht="10.5" x14ac:dyDescent="0.35"/>
    <row r="89" s="68" customFormat="1" ht="10.5" x14ac:dyDescent="0.35"/>
    <row r="90" s="68" customFormat="1" ht="10.5" x14ac:dyDescent="0.35"/>
    <row r="91" s="68" customFormat="1" ht="10.5" x14ac:dyDescent="0.35"/>
    <row r="92" s="68" customFormat="1" ht="10.5" x14ac:dyDescent="0.35"/>
    <row r="93" s="68" customFormat="1" ht="10.5" x14ac:dyDescent="0.35"/>
    <row r="94" s="68" customFormat="1" ht="10.5" x14ac:dyDescent="0.35"/>
    <row r="95" s="68" customFormat="1" ht="10.5" x14ac:dyDescent="0.35"/>
    <row r="96" s="68" customFormat="1" ht="10.5" x14ac:dyDescent="0.35"/>
    <row r="97" s="68" customFormat="1" ht="10.5" x14ac:dyDescent="0.35"/>
    <row r="98" s="68" customFormat="1" ht="10.5" x14ac:dyDescent="0.35"/>
    <row r="99" s="68" customFormat="1" ht="10.5" x14ac:dyDescent="0.35"/>
    <row r="100" s="68" customFormat="1" ht="10.5" x14ac:dyDescent="0.35"/>
    <row r="101" s="68" customFormat="1" ht="10.5" x14ac:dyDescent="0.35"/>
    <row r="102" s="68" customFormat="1" ht="10.5" x14ac:dyDescent="0.35"/>
    <row r="103" s="68" customFormat="1" ht="10.5" x14ac:dyDescent="0.35"/>
    <row r="104" s="68" customFormat="1" ht="10.5" x14ac:dyDescent="0.35"/>
    <row r="105" s="68" customFormat="1" ht="10.5" x14ac:dyDescent="0.35"/>
    <row r="106" s="68" customFormat="1" ht="10.5" x14ac:dyDescent="0.35"/>
    <row r="107" s="68" customFormat="1" ht="10.5" x14ac:dyDescent="0.35"/>
    <row r="108" s="68" customFormat="1" ht="10.5" x14ac:dyDescent="0.35"/>
    <row r="109" s="68" customFormat="1" ht="10.5" x14ac:dyDescent="0.35"/>
    <row r="110" s="68" customFormat="1" ht="10.5" x14ac:dyDescent="0.35"/>
    <row r="111" s="68" customFormat="1" ht="10.5" x14ac:dyDescent="0.35"/>
    <row r="112" s="68" customFormat="1" ht="10.5" x14ac:dyDescent="0.35"/>
    <row r="113" s="68" customFormat="1" ht="10.5" x14ac:dyDescent="0.35"/>
    <row r="114" s="68" customFormat="1" ht="10.5" x14ac:dyDescent="0.35"/>
    <row r="115" s="68" customFormat="1" ht="10.5" x14ac:dyDescent="0.35"/>
    <row r="116" s="68" customFormat="1" ht="10.5" x14ac:dyDescent="0.35"/>
    <row r="117" s="68" customFormat="1" ht="10.5" x14ac:dyDescent="0.35"/>
    <row r="118" s="68" customFormat="1" ht="10.5" x14ac:dyDescent="0.35"/>
    <row r="119" s="68" customFormat="1" ht="10.5" x14ac:dyDescent="0.35"/>
    <row r="120" s="68" customFormat="1" ht="10.5" x14ac:dyDescent="0.35"/>
    <row r="121" s="68" customFormat="1" ht="10.5" x14ac:dyDescent="0.35"/>
    <row r="122" s="68" customFormat="1" ht="10.5" x14ac:dyDescent="0.35"/>
    <row r="123" s="68" customFormat="1" ht="10.5" x14ac:dyDescent="0.35"/>
    <row r="124" s="68" customFormat="1" ht="10.5" x14ac:dyDescent="0.35"/>
    <row r="125" s="68" customFormat="1" ht="10.5" x14ac:dyDescent="0.35"/>
    <row r="126" s="68" customFormat="1" ht="10.5" x14ac:dyDescent="0.35"/>
    <row r="127" s="68" customFormat="1" ht="10.5" x14ac:dyDescent="0.35"/>
    <row r="128" s="68" customFormat="1" ht="10.5" x14ac:dyDescent="0.35"/>
    <row r="129" s="68" customFormat="1" ht="10.5" x14ac:dyDescent="0.35"/>
    <row r="130" s="68" customFormat="1" ht="10.5" x14ac:dyDescent="0.35"/>
    <row r="131" s="68" customFormat="1" ht="10.5" x14ac:dyDescent="0.35"/>
    <row r="132" s="68" customFormat="1" ht="10.5" x14ac:dyDescent="0.35"/>
    <row r="133" s="68" customFormat="1" ht="10.5" x14ac:dyDescent="0.35"/>
    <row r="134" s="68" customFormat="1" ht="10.5" x14ac:dyDescent="0.35"/>
    <row r="135" s="68" customFormat="1" ht="10.5" x14ac:dyDescent="0.35"/>
    <row r="136" s="68" customFormat="1" ht="10.5" x14ac:dyDescent="0.35"/>
    <row r="137" s="68" customFormat="1" ht="10.5" x14ac:dyDescent="0.35"/>
    <row r="138" s="68" customFormat="1" ht="10.5" x14ac:dyDescent="0.35"/>
    <row r="139" s="68" customFormat="1" ht="10.5" x14ac:dyDescent="0.35"/>
    <row r="140" s="68" customFormat="1" ht="10.5" x14ac:dyDescent="0.35"/>
    <row r="141" s="68" customFormat="1" ht="10.5" x14ac:dyDescent="0.35"/>
    <row r="142" s="68" customFormat="1" ht="10.5" x14ac:dyDescent="0.35"/>
    <row r="143" s="68" customFormat="1" ht="10.5" x14ac:dyDescent="0.35"/>
    <row r="144" s="68" customFormat="1" ht="10.5" x14ac:dyDescent="0.35"/>
    <row r="145" s="68" customFormat="1" ht="10.5" x14ac:dyDescent="0.35"/>
    <row r="146" s="68" customFormat="1" ht="10.5" x14ac:dyDescent="0.35"/>
    <row r="147" s="68" customFormat="1" ht="10.5" x14ac:dyDescent="0.35"/>
    <row r="148" s="68" customFormat="1" ht="10.5" x14ac:dyDescent="0.35"/>
    <row r="149" s="68" customFormat="1" ht="10.5" x14ac:dyDescent="0.35"/>
    <row r="150" s="68" customFormat="1" ht="10.5" x14ac:dyDescent="0.35"/>
    <row r="151" s="68" customFormat="1" ht="10.5" x14ac:dyDescent="0.35"/>
    <row r="152" s="68" customFormat="1" ht="10.5" x14ac:dyDescent="0.35"/>
    <row r="153" s="68" customFormat="1" ht="10.5" x14ac:dyDescent="0.35"/>
    <row r="154" s="68" customFormat="1" ht="10.5" x14ac:dyDescent="0.35"/>
    <row r="155" s="68" customFormat="1" ht="10.5" x14ac:dyDescent="0.35"/>
    <row r="156" s="68" customFormat="1" ht="10.5" x14ac:dyDescent="0.35"/>
    <row r="157" s="68" customFormat="1" ht="10.5" x14ac:dyDescent="0.35"/>
    <row r="158" s="68" customFormat="1" ht="10.5" x14ac:dyDescent="0.35"/>
    <row r="159" s="68" customFormat="1" ht="10.5" x14ac:dyDescent="0.35"/>
    <row r="160" s="68" customFormat="1" ht="10.5" x14ac:dyDescent="0.35"/>
    <row r="161" s="68" customFormat="1" ht="10.5" x14ac:dyDescent="0.35"/>
    <row r="162" s="68" customFormat="1" ht="10.5" x14ac:dyDescent="0.35"/>
    <row r="163" s="68" customFormat="1" ht="10.5" x14ac:dyDescent="0.35"/>
    <row r="164" s="68" customFormat="1" ht="10.5" x14ac:dyDescent="0.35"/>
    <row r="165" s="68" customFormat="1" ht="10.5" x14ac:dyDescent="0.35"/>
    <row r="166" s="68" customFormat="1" ht="10.5" x14ac:dyDescent="0.35"/>
    <row r="167" s="68" customFormat="1" ht="10.5" x14ac:dyDescent="0.35"/>
    <row r="168" s="68" customFormat="1" ht="10.5" x14ac:dyDescent="0.35"/>
    <row r="169" s="68" customFormat="1" ht="10.5" x14ac:dyDescent="0.35"/>
    <row r="170" s="68" customFormat="1" ht="10.5" x14ac:dyDescent="0.35"/>
    <row r="171" s="68" customFormat="1" ht="10.5" x14ac:dyDescent="0.35"/>
    <row r="172" s="68" customFormat="1" ht="10.5" x14ac:dyDescent="0.35"/>
    <row r="173" s="68" customFormat="1" ht="10.5" x14ac:dyDescent="0.35"/>
    <row r="174" s="68" customFormat="1" ht="10.5" x14ac:dyDescent="0.35"/>
    <row r="175" s="68" customFormat="1" ht="10.5" x14ac:dyDescent="0.35"/>
    <row r="176" s="68" customFormat="1" ht="10.5" x14ac:dyDescent="0.35"/>
    <row r="177" s="68" customFormat="1" ht="10.5" x14ac:dyDescent="0.35"/>
    <row r="178" s="68" customFormat="1" ht="10.5" x14ac:dyDescent="0.35"/>
    <row r="179" s="68" customFormat="1" ht="10.5" x14ac:dyDescent="0.35"/>
    <row r="180" s="68" customFormat="1" ht="10.5" x14ac:dyDescent="0.35"/>
    <row r="181" s="68" customFormat="1" ht="10.5" x14ac:dyDescent="0.35"/>
    <row r="182" s="68" customFormat="1" ht="10.5" x14ac:dyDescent="0.35"/>
    <row r="183" s="68" customFormat="1" ht="10.5" x14ac:dyDescent="0.35"/>
    <row r="184" s="68" customFormat="1" ht="10.5" x14ac:dyDescent="0.35"/>
    <row r="185" s="68" customFormat="1" ht="10.5" x14ac:dyDescent="0.35"/>
    <row r="186" s="68" customFormat="1" ht="10.5" x14ac:dyDescent="0.35"/>
    <row r="187" s="68" customFormat="1" ht="10.5" x14ac:dyDescent="0.35"/>
    <row r="188" s="68" customFormat="1" ht="10.5" x14ac:dyDescent="0.35"/>
    <row r="189" s="68" customFormat="1" ht="10.5" x14ac:dyDescent="0.35"/>
    <row r="190" s="68" customFormat="1" ht="10.5" x14ac:dyDescent="0.35"/>
    <row r="191" s="68" customFormat="1" ht="10.5" x14ac:dyDescent="0.35"/>
    <row r="192" s="68" customFormat="1" ht="10.5" x14ac:dyDescent="0.35"/>
    <row r="193" s="68" customFormat="1" ht="10.5" x14ac:dyDescent="0.35"/>
    <row r="194" s="68" customFormat="1" ht="10.5" x14ac:dyDescent="0.35"/>
    <row r="195" s="68" customFormat="1" ht="10.5" x14ac:dyDescent="0.35"/>
    <row r="196" s="68" customFormat="1" ht="10.5" x14ac:dyDescent="0.35"/>
    <row r="197" s="68" customFormat="1" ht="10.5" x14ac:dyDescent="0.35"/>
    <row r="198" s="68" customFormat="1" ht="10.5" x14ac:dyDescent="0.35"/>
    <row r="199" s="68" customFormat="1" ht="10.5" x14ac:dyDescent="0.35"/>
    <row r="200" s="68" customFormat="1" ht="10.5" x14ac:dyDescent="0.35"/>
    <row r="201" s="68" customFormat="1" ht="10.5" x14ac:dyDescent="0.35"/>
    <row r="202" s="68" customFormat="1" ht="10.5" x14ac:dyDescent="0.35"/>
    <row r="203" s="68" customFormat="1" ht="10.5" x14ac:dyDescent="0.35"/>
    <row r="204" s="68" customFormat="1" ht="10.5" x14ac:dyDescent="0.35"/>
    <row r="205" s="68" customFormat="1" ht="10.5" x14ac:dyDescent="0.35"/>
    <row r="206" s="68" customFormat="1" ht="10.5" x14ac:dyDescent="0.35"/>
    <row r="207" s="68" customFormat="1" ht="10.5" x14ac:dyDescent="0.35"/>
    <row r="208" s="68" customFormat="1" ht="10.5" x14ac:dyDescent="0.35"/>
    <row r="209" s="68" customFormat="1" ht="10.5" x14ac:dyDescent="0.35"/>
    <row r="210" s="68" customFormat="1" ht="10.5" x14ac:dyDescent="0.35"/>
    <row r="211" s="68" customFormat="1" ht="10.5" x14ac:dyDescent="0.35"/>
    <row r="212" s="68" customFormat="1" ht="10.5" x14ac:dyDescent="0.35"/>
    <row r="213" s="68" customFormat="1" ht="10.5" x14ac:dyDescent="0.35"/>
    <row r="214" s="68" customFormat="1" ht="10.5" x14ac:dyDescent="0.35"/>
    <row r="215" s="68" customFormat="1" ht="10.5" x14ac:dyDescent="0.35"/>
    <row r="216" s="68" customFormat="1" ht="10.5" x14ac:dyDescent="0.35"/>
    <row r="217" s="68" customFormat="1" ht="10.5" x14ac:dyDescent="0.35"/>
    <row r="218" s="68" customFormat="1" ht="10.5" x14ac:dyDescent="0.35"/>
    <row r="219" s="68" customFormat="1" ht="10.5" x14ac:dyDescent="0.35"/>
    <row r="220" s="68" customFormat="1" ht="10.5" x14ac:dyDescent="0.35"/>
    <row r="221" s="68" customFormat="1" ht="10.5" x14ac:dyDescent="0.35"/>
    <row r="222" s="68" customFormat="1" ht="10.5" x14ac:dyDescent="0.35"/>
    <row r="223" s="68" customFormat="1" ht="10.5" x14ac:dyDescent="0.35"/>
    <row r="224" s="68" customFormat="1" ht="10.5" x14ac:dyDescent="0.35"/>
    <row r="225" s="68" customFormat="1" ht="10.5" x14ac:dyDescent="0.35"/>
    <row r="226" s="68" customFormat="1" ht="10.5" x14ac:dyDescent="0.35"/>
    <row r="227" s="68" customFormat="1" ht="10.5" x14ac:dyDescent="0.35"/>
    <row r="228" s="68" customFormat="1" ht="10.5" x14ac:dyDescent="0.35"/>
    <row r="229" s="68" customFormat="1" ht="10.5" x14ac:dyDescent="0.35"/>
    <row r="230" s="68" customFormat="1" ht="10.5" x14ac:dyDescent="0.35"/>
    <row r="231" s="68" customFormat="1" ht="10.5" x14ac:dyDescent="0.35"/>
    <row r="232" s="68" customFormat="1" ht="10.5" x14ac:dyDescent="0.35"/>
    <row r="233" s="68" customFormat="1" ht="10.5" x14ac:dyDescent="0.35"/>
    <row r="234" s="68" customFormat="1" ht="10.5" x14ac:dyDescent="0.35"/>
    <row r="235" s="68" customFormat="1" ht="10.5" x14ac:dyDescent="0.35"/>
    <row r="236" s="68" customFormat="1" ht="10.5" x14ac:dyDescent="0.35"/>
    <row r="237" s="68" customFormat="1" ht="10.5" x14ac:dyDescent="0.35"/>
    <row r="238" s="68" customFormat="1" ht="10.5" x14ac:dyDescent="0.35"/>
    <row r="239" s="68" customFormat="1" ht="10.5" x14ac:dyDescent="0.35"/>
    <row r="240" s="68" customFormat="1" ht="10.5" x14ac:dyDescent="0.35"/>
    <row r="241" s="68" customFormat="1" ht="10.5" x14ac:dyDescent="0.35"/>
    <row r="242" s="68" customFormat="1" ht="10.5" x14ac:dyDescent="0.35"/>
    <row r="243" s="68" customFormat="1" ht="10.5" x14ac:dyDescent="0.35"/>
    <row r="244" s="68" customFormat="1" ht="10.5" x14ac:dyDescent="0.35"/>
    <row r="245" s="68" customFormat="1" ht="10.5" x14ac:dyDescent="0.35"/>
    <row r="246" s="68" customFormat="1" ht="10.5" x14ac:dyDescent="0.35"/>
    <row r="247" s="68" customFormat="1" ht="10.5" x14ac:dyDescent="0.35"/>
    <row r="248" s="68" customFormat="1" ht="10.5" x14ac:dyDescent="0.35"/>
    <row r="249" s="68" customFormat="1" ht="10.5" x14ac:dyDescent="0.35"/>
    <row r="250" s="68" customFormat="1" ht="10.5" x14ac:dyDescent="0.35"/>
    <row r="251" s="68" customFormat="1" ht="10.5" x14ac:dyDescent="0.35"/>
    <row r="252" s="68" customFormat="1" ht="10.5" x14ac:dyDescent="0.35"/>
    <row r="253" s="68" customFormat="1" ht="10.5" x14ac:dyDescent="0.35"/>
    <row r="254" s="68" customFormat="1" ht="10.5" x14ac:dyDescent="0.35"/>
    <row r="255" s="68" customFormat="1" ht="10.5" x14ac:dyDescent="0.35"/>
    <row r="256" s="68" customFormat="1" ht="10.5" x14ac:dyDescent="0.35"/>
    <row r="257" s="68" customFormat="1" ht="10.5" x14ac:dyDescent="0.35"/>
    <row r="258" s="68" customFormat="1" ht="10.5" x14ac:dyDescent="0.35"/>
    <row r="259" s="68" customFormat="1" ht="10.5" x14ac:dyDescent="0.35"/>
    <row r="260" s="68" customFormat="1" ht="10.5" x14ac:dyDescent="0.35"/>
    <row r="261" s="68" customFormat="1" ht="10.5" x14ac:dyDescent="0.35"/>
    <row r="262" s="68" customFormat="1" ht="10.5" x14ac:dyDescent="0.35"/>
    <row r="263" s="68" customFormat="1" ht="10.5" x14ac:dyDescent="0.35"/>
    <row r="264" s="68" customFormat="1" ht="10.5" x14ac:dyDescent="0.35"/>
    <row r="265" s="68" customFormat="1" ht="10.5" x14ac:dyDescent="0.35"/>
    <row r="266" s="68" customFormat="1" ht="10.5" x14ac:dyDescent="0.35"/>
    <row r="267" s="68" customFormat="1" ht="10.5" x14ac:dyDescent="0.35"/>
    <row r="268" s="68" customFormat="1" ht="10.5" x14ac:dyDescent="0.35"/>
    <row r="269" s="68" customFormat="1" ht="10.5" x14ac:dyDescent="0.35"/>
    <row r="270" s="68" customFormat="1" ht="10.5" x14ac:dyDescent="0.35"/>
    <row r="271" s="68" customFormat="1" ht="10.5" x14ac:dyDescent="0.35"/>
    <row r="272" s="68" customFormat="1" ht="10.5" x14ac:dyDescent="0.35"/>
    <row r="273" s="68" customFormat="1" ht="10.5" x14ac:dyDescent="0.35"/>
    <row r="274" s="68" customFormat="1" ht="10.5" x14ac:dyDescent="0.35"/>
    <row r="275" s="68" customFormat="1" ht="10.5" x14ac:dyDescent="0.35"/>
    <row r="276" s="68" customFormat="1" ht="10.5" x14ac:dyDescent="0.35"/>
    <row r="277" s="68" customFormat="1" ht="10.5" x14ac:dyDescent="0.35"/>
    <row r="278" s="68" customFormat="1" ht="10.5" x14ac:dyDescent="0.35"/>
    <row r="279" s="68" customFormat="1" ht="10.5" x14ac:dyDescent="0.35"/>
    <row r="280" s="68" customFormat="1" ht="10.5" x14ac:dyDescent="0.35"/>
    <row r="281" s="68" customFormat="1" ht="10.5" x14ac:dyDescent="0.35"/>
    <row r="282" s="68" customFormat="1" ht="10.5" x14ac:dyDescent="0.35"/>
    <row r="283" s="68" customFormat="1" ht="10.5" x14ac:dyDescent="0.35"/>
    <row r="284" s="68" customFormat="1" ht="10.5" x14ac:dyDescent="0.35"/>
    <row r="285" s="68" customFormat="1" ht="10.5" x14ac:dyDescent="0.35"/>
    <row r="286" s="68" customFormat="1" ht="10.5" x14ac:dyDescent="0.35"/>
    <row r="287" s="68" customFormat="1" ht="10.5" x14ac:dyDescent="0.35"/>
    <row r="288" s="68" customFormat="1" ht="10.5" x14ac:dyDescent="0.35"/>
    <row r="289" s="68" customFormat="1" ht="10.5" x14ac:dyDescent="0.35"/>
    <row r="290" s="68" customFormat="1" ht="10.5" x14ac:dyDescent="0.35"/>
    <row r="291" s="68" customFormat="1" ht="10.5" x14ac:dyDescent="0.35"/>
    <row r="292" s="68" customFormat="1" ht="10.5" x14ac:dyDescent="0.35"/>
    <row r="293" s="68" customFormat="1" ht="10.5" x14ac:dyDescent="0.35"/>
    <row r="294" s="68" customFormat="1" ht="10.5" x14ac:dyDescent="0.35"/>
    <row r="295" s="68" customFormat="1" ht="10.5" x14ac:dyDescent="0.35"/>
    <row r="296" s="68" customFormat="1" ht="10.5" x14ac:dyDescent="0.35"/>
    <row r="297" s="68" customFormat="1" ht="10.5" x14ac:dyDescent="0.35"/>
    <row r="298" s="68" customFormat="1" ht="10.5" x14ac:dyDescent="0.35"/>
    <row r="299" s="68" customFormat="1" ht="10.5" x14ac:dyDescent="0.35"/>
    <row r="300" s="68" customFormat="1" ht="10.5" x14ac:dyDescent="0.35"/>
    <row r="301" s="68" customFormat="1" ht="10.5" x14ac:dyDescent="0.35"/>
    <row r="302" s="68" customFormat="1" ht="10.5" x14ac:dyDescent="0.35"/>
    <row r="303" s="68" customFormat="1" ht="10.5" x14ac:dyDescent="0.35"/>
    <row r="304" s="68" customFormat="1" ht="10.5" x14ac:dyDescent="0.35"/>
    <row r="305" s="68" customFormat="1" ht="10.5" x14ac:dyDescent="0.35"/>
    <row r="306" s="68" customFormat="1" ht="10.5" x14ac:dyDescent="0.35"/>
    <row r="307" s="68" customFormat="1" ht="10.5" x14ac:dyDescent="0.35"/>
    <row r="308" s="68" customFormat="1" ht="10.5" x14ac:dyDescent="0.35"/>
    <row r="309" s="68" customFormat="1" ht="10.5" x14ac:dyDescent="0.35"/>
    <row r="310" s="68" customFormat="1" ht="10.5" x14ac:dyDescent="0.35"/>
    <row r="311" s="68" customFormat="1" ht="10.5" x14ac:dyDescent="0.35"/>
    <row r="312" s="68" customFormat="1" ht="10.5" x14ac:dyDescent="0.35"/>
    <row r="313" s="68" customFormat="1" ht="10.5" x14ac:dyDescent="0.35"/>
    <row r="314" s="68" customFormat="1" ht="10.5" x14ac:dyDescent="0.35"/>
    <row r="315" s="68" customFormat="1" ht="10.5" x14ac:dyDescent="0.35"/>
    <row r="316" s="68" customFormat="1" ht="10.5" x14ac:dyDescent="0.35"/>
    <row r="317" s="68" customFormat="1" ht="10.5" x14ac:dyDescent="0.35"/>
    <row r="318" s="68" customFormat="1" ht="10.5" x14ac:dyDescent="0.35"/>
    <row r="319" s="68" customFormat="1" ht="10.5" x14ac:dyDescent="0.35"/>
    <row r="320" s="68" customFormat="1" ht="10.5" x14ac:dyDescent="0.35"/>
    <row r="321" s="68" customFormat="1" ht="10.5" x14ac:dyDescent="0.35"/>
    <row r="322" s="68" customFormat="1" ht="10.5" x14ac:dyDescent="0.35"/>
    <row r="323" s="68" customFormat="1" ht="10.5" x14ac:dyDescent="0.35"/>
    <row r="324" s="68" customFormat="1" ht="10.5" x14ac:dyDescent="0.35"/>
    <row r="325" s="68" customFormat="1" ht="10.5" x14ac:dyDescent="0.35"/>
    <row r="326" s="68" customFormat="1" ht="10.5" x14ac:dyDescent="0.35"/>
    <row r="327" s="68" customFormat="1" ht="10.5" x14ac:dyDescent="0.35"/>
    <row r="328" s="68" customFormat="1" ht="10.5" x14ac:dyDescent="0.35"/>
    <row r="329" s="68" customFormat="1" ht="10.5" x14ac:dyDescent="0.35"/>
    <row r="330" s="68" customFormat="1" ht="10.5" x14ac:dyDescent="0.35"/>
    <row r="331" s="68" customFormat="1" ht="10.5" x14ac:dyDescent="0.35"/>
    <row r="332" s="68" customFormat="1" ht="10.5" x14ac:dyDescent="0.35"/>
    <row r="333" s="68" customFormat="1" ht="10.5" x14ac:dyDescent="0.35"/>
    <row r="334" s="68" customFormat="1" ht="10.5" x14ac:dyDescent="0.35"/>
    <row r="335" s="68" customFormat="1" ht="10.5" x14ac:dyDescent="0.35"/>
    <row r="336" s="68" customFormat="1" ht="10.5" x14ac:dyDescent="0.35"/>
    <row r="337" s="68" customFormat="1" ht="10.5" x14ac:dyDescent="0.35"/>
    <row r="338" s="68" customFormat="1" ht="10.5" x14ac:dyDescent="0.35"/>
    <row r="339" s="68" customFormat="1" ht="10.5" x14ac:dyDescent="0.35"/>
    <row r="340" s="68" customFormat="1" ht="10.5" x14ac:dyDescent="0.35"/>
    <row r="341" s="68" customFormat="1" ht="10.5" x14ac:dyDescent="0.35"/>
    <row r="342" s="68" customFormat="1" ht="10.5" x14ac:dyDescent="0.35"/>
    <row r="343" s="68" customFormat="1" ht="10.5" x14ac:dyDescent="0.35"/>
    <row r="344" s="68" customFormat="1" ht="10.5" x14ac:dyDescent="0.35"/>
    <row r="345" s="68" customFormat="1" ht="10.5" x14ac:dyDescent="0.35"/>
    <row r="346" s="68" customFormat="1" ht="10.5" x14ac:dyDescent="0.35"/>
    <row r="347" s="68" customFormat="1" ht="10.5" x14ac:dyDescent="0.35"/>
    <row r="348" s="68" customFormat="1" ht="10.5" x14ac:dyDescent="0.35"/>
    <row r="349" s="68" customFormat="1" ht="10.5" x14ac:dyDescent="0.35"/>
    <row r="350" s="68" customFormat="1" ht="10.5" x14ac:dyDescent="0.35"/>
    <row r="351" s="68" customFormat="1" ht="10.5" x14ac:dyDescent="0.35"/>
    <row r="352" s="68" customFormat="1" ht="10.5" x14ac:dyDescent="0.35"/>
    <row r="353" s="68" customFormat="1" ht="10.5" x14ac:dyDescent="0.35"/>
    <row r="354" s="68" customFormat="1" ht="10.5" x14ac:dyDescent="0.35"/>
    <row r="355" s="68" customFormat="1" ht="10.5" x14ac:dyDescent="0.35"/>
    <row r="356" s="68" customFormat="1" ht="10.5" x14ac:dyDescent="0.35"/>
    <row r="357" s="68" customFormat="1" ht="10.5" x14ac:dyDescent="0.35"/>
    <row r="358" s="68" customFormat="1" ht="10.5" x14ac:dyDescent="0.35"/>
    <row r="359" s="68" customFormat="1" ht="10.5" x14ac:dyDescent="0.35"/>
    <row r="360" s="68" customFormat="1" ht="10.5" x14ac:dyDescent="0.35"/>
    <row r="361" s="68" customFormat="1" ht="10.5" x14ac:dyDescent="0.35"/>
    <row r="362" s="68" customFormat="1" ht="10.5" x14ac:dyDescent="0.35"/>
    <row r="363" s="68" customFormat="1" ht="10.5" x14ac:dyDescent="0.35"/>
    <row r="364" s="68" customFormat="1" ht="10.5" x14ac:dyDescent="0.35"/>
    <row r="365" s="68" customFormat="1" ht="10.5" x14ac:dyDescent="0.35"/>
    <row r="366" s="68" customFormat="1" ht="10.5" x14ac:dyDescent="0.35"/>
    <row r="367" s="68" customFormat="1" ht="10.5" x14ac:dyDescent="0.35"/>
    <row r="368" s="68" customFormat="1" ht="10.5" x14ac:dyDescent="0.35"/>
    <row r="369" s="68" customFormat="1" ht="10.5" x14ac:dyDescent="0.35"/>
    <row r="370" s="68" customFormat="1" ht="10.5" x14ac:dyDescent="0.35"/>
    <row r="371" s="68" customFormat="1" ht="10.5" x14ac:dyDescent="0.35"/>
    <row r="372" s="68" customFormat="1" ht="10.5" x14ac:dyDescent="0.35"/>
    <row r="373" s="68" customFormat="1" ht="10.5" x14ac:dyDescent="0.35"/>
    <row r="374" s="68" customFormat="1" ht="10.5" x14ac:dyDescent="0.35"/>
    <row r="375" s="68" customFormat="1" ht="10.5" x14ac:dyDescent="0.35"/>
    <row r="376" s="68" customFormat="1" ht="10.5" x14ac:dyDescent="0.35"/>
    <row r="377" s="68" customFormat="1" ht="10.5" x14ac:dyDescent="0.35"/>
    <row r="378" s="68" customFormat="1" ht="10.5" x14ac:dyDescent="0.35"/>
    <row r="379" s="68" customFormat="1" ht="10.5" x14ac:dyDescent="0.35"/>
    <row r="380" s="68" customFormat="1" ht="10.5" x14ac:dyDescent="0.35"/>
    <row r="381" s="68" customFormat="1" ht="10.5" x14ac:dyDescent="0.35"/>
    <row r="382" s="68" customFormat="1" ht="10.5" x14ac:dyDescent="0.35"/>
    <row r="383" s="68" customFormat="1" ht="10.5" x14ac:dyDescent="0.35"/>
    <row r="384" s="68" customFormat="1" ht="10.5" x14ac:dyDescent="0.35"/>
    <row r="385" s="68" customFormat="1" ht="10.5" x14ac:dyDescent="0.35"/>
    <row r="386" s="68" customFormat="1" ht="10.5" x14ac:dyDescent="0.35"/>
    <row r="387" s="68" customFormat="1" ht="10.5" x14ac:dyDescent="0.35"/>
    <row r="388" s="68" customFormat="1" ht="10.5" x14ac:dyDescent="0.35"/>
    <row r="389" s="68" customFormat="1" ht="10.5" x14ac:dyDescent="0.35"/>
    <row r="390" s="68" customFormat="1" ht="10.5" x14ac:dyDescent="0.35"/>
    <row r="391" s="68" customFormat="1" ht="10.5" x14ac:dyDescent="0.35"/>
    <row r="392" s="68" customFormat="1" ht="10.5" x14ac:dyDescent="0.35"/>
    <row r="393" s="68" customFormat="1" ht="10.5" x14ac:dyDescent="0.35"/>
    <row r="394" s="68" customFormat="1" ht="10.5" x14ac:dyDescent="0.35"/>
    <row r="395" s="68" customFormat="1" ht="10.5" x14ac:dyDescent="0.35"/>
    <row r="396" s="68" customFormat="1" ht="10.5" x14ac:dyDescent="0.35"/>
    <row r="397" s="68" customFormat="1" ht="10.5" x14ac:dyDescent="0.35"/>
    <row r="398" s="68" customFormat="1" ht="10.5" x14ac:dyDescent="0.35"/>
    <row r="399" s="68" customFormat="1" ht="10.5" x14ac:dyDescent="0.35"/>
    <row r="400" s="68" customFormat="1" ht="10.5" x14ac:dyDescent="0.35"/>
    <row r="401" s="68" customFormat="1" ht="10.5" x14ac:dyDescent="0.35"/>
    <row r="402" s="68" customFormat="1" ht="10.5" x14ac:dyDescent="0.35"/>
    <row r="403" s="68" customFormat="1" ht="10.5" x14ac:dyDescent="0.35"/>
    <row r="404" s="68" customFormat="1" ht="10.5" x14ac:dyDescent="0.35"/>
    <row r="405" s="68" customFormat="1" ht="10.5" x14ac:dyDescent="0.35"/>
    <row r="406" s="68" customFormat="1" ht="10.5" x14ac:dyDescent="0.35"/>
    <row r="407" s="68" customFormat="1" ht="10.5" x14ac:dyDescent="0.35"/>
    <row r="408" s="68" customFormat="1" ht="10.5" x14ac:dyDescent="0.35"/>
    <row r="409" s="68" customFormat="1" ht="10.5" x14ac:dyDescent="0.35"/>
    <row r="410" s="68" customFormat="1" ht="10.5" x14ac:dyDescent="0.35"/>
    <row r="411" s="68" customFormat="1" ht="10.5" x14ac:dyDescent="0.35"/>
    <row r="412" s="68" customFormat="1" ht="10.5" x14ac:dyDescent="0.35"/>
    <row r="413" s="68" customFormat="1" ht="10.5" x14ac:dyDescent="0.35"/>
    <row r="414" s="68" customFormat="1" ht="10.5" x14ac:dyDescent="0.35"/>
    <row r="415" s="68" customFormat="1" ht="10.5" x14ac:dyDescent="0.35"/>
    <row r="416" s="68" customFormat="1" ht="10.5" x14ac:dyDescent="0.35"/>
    <row r="417" spans="1:2" s="68" customFormat="1" ht="10.5" x14ac:dyDescent="0.35"/>
    <row r="418" spans="1:2" s="68" customFormat="1" ht="10.5" x14ac:dyDescent="0.35"/>
    <row r="419" spans="1:2" s="68" customFormat="1" ht="10.5" x14ac:dyDescent="0.35"/>
    <row r="420" spans="1:2" s="68" customFormat="1" ht="10.5" x14ac:dyDescent="0.35"/>
    <row r="421" spans="1:2" s="68" customFormat="1" x14ac:dyDescent="0.35">
      <c r="A421" s="59"/>
      <c r="B421"/>
    </row>
    <row r="422" spans="1:2" s="68" customFormat="1" x14ac:dyDescent="0.35">
      <c r="A422" s="59"/>
      <c r="B422"/>
    </row>
    <row r="423" spans="1:2" s="68" customFormat="1" x14ac:dyDescent="0.35">
      <c r="A423" s="59"/>
      <c r="B423"/>
    </row>
    <row r="424" spans="1:2" s="68" customFormat="1" x14ac:dyDescent="0.35">
      <c r="A424" s="59"/>
      <c r="B424"/>
    </row>
    <row r="425" spans="1:2" s="68" customFormat="1" x14ac:dyDescent="0.35">
      <c r="A425" s="59"/>
      <c r="B425"/>
    </row>
    <row r="426" spans="1:2" s="68" customFormat="1" x14ac:dyDescent="0.35">
      <c r="A426" s="59"/>
      <c r="B426"/>
    </row>
    <row r="427" spans="1:2" s="68" customFormat="1" x14ac:dyDescent="0.35">
      <c r="A427" s="59"/>
      <c r="B427"/>
    </row>
    <row r="428" spans="1:2" s="68" customFormat="1" x14ac:dyDescent="0.35">
      <c r="A428" s="59"/>
      <c r="B428"/>
    </row>
    <row r="429" spans="1:2" s="68" customFormat="1" x14ac:dyDescent="0.35">
      <c r="A429" s="59"/>
      <c r="B429"/>
    </row>
    <row r="430" spans="1:2" s="68" customFormat="1" x14ac:dyDescent="0.35">
      <c r="A430" s="59"/>
      <c r="B430"/>
    </row>
    <row r="431" spans="1:2" s="68" customFormat="1" x14ac:dyDescent="0.35">
      <c r="A431" s="59"/>
      <c r="B431"/>
    </row>
    <row r="432" spans="1:2" s="68" customFormat="1" x14ac:dyDescent="0.35">
      <c r="A432" s="59"/>
      <c r="B432"/>
    </row>
    <row r="433" spans="1:2" s="68" customFormat="1" x14ac:dyDescent="0.35">
      <c r="A433" s="59"/>
      <c r="B433"/>
    </row>
    <row r="434" spans="1:2" s="68" customFormat="1" x14ac:dyDescent="0.35">
      <c r="A434" s="59"/>
      <c r="B434"/>
    </row>
    <row r="435" spans="1:2" s="68" customFormat="1" x14ac:dyDescent="0.35">
      <c r="A435" s="59"/>
      <c r="B435"/>
    </row>
    <row r="436" spans="1:2" s="68" customFormat="1" x14ac:dyDescent="0.35">
      <c r="A436" s="59"/>
      <c r="B436"/>
    </row>
  </sheetData>
  <mergeCells count="1">
    <mergeCell ref="A5:J5"/>
  </mergeCells>
  <conditionalFormatting sqref="E2:H4 B2:B4">
    <cfRule type="cellIs" dxfId="10" priority="109" operator="lessThan">
      <formula>0</formula>
    </cfRule>
    <cfRule type="cellIs" dxfId="9" priority="110" operator="greaterThan">
      <formula>0</formula>
    </cfRule>
    <cfRule type="cellIs" dxfId="8" priority="114" operator="greaterThan">
      <formula>0</formula>
    </cfRule>
  </conditionalFormatting>
  <conditionalFormatting sqref="E2:H4 B2:B4">
    <cfRule type="cellIs" dxfId="7" priority="103" operator="greaterThan">
      <formula>0</formula>
    </cfRule>
    <cfRule type="cellIs" priority="104" operator="greaterThan">
      <formula>0</formula>
    </cfRule>
    <cfRule type="cellIs" dxfId="6" priority="108" operator="equal">
      <formula>0</formula>
    </cfRule>
  </conditionalFormatting>
  <conditionalFormatting sqref="I2:J4 C2:D4">
    <cfRule type="cellIs" dxfId="5" priority="48" operator="greaterThan">
      <formula>0</formula>
    </cfRule>
  </conditionalFormatting>
  <conditionalFormatting sqref="I2:J4 C2:D4">
    <cfRule type="cellIs" dxfId="4" priority="47" operator="equal">
      <formula>0</formula>
    </cfRule>
  </conditionalFormatting>
  <conditionalFormatting sqref="I2:J4 C2:D4">
    <cfRule type="cellIs" dxfId="3" priority="46" operator="greaterThan">
      <formula>0</formula>
    </cfRule>
  </conditionalFormatting>
  <conditionalFormatting sqref="I3:I4">
    <cfRule type="cellIs" dxfId="2" priority="42" operator="greaterThan">
      <formula>0</formula>
    </cfRule>
  </conditionalFormatting>
  <conditionalFormatting sqref="I3:I4">
    <cfRule type="cellIs" dxfId="1" priority="41" operator="equal">
      <formula>0</formula>
    </cfRule>
  </conditionalFormatting>
  <conditionalFormatting sqref="I3:I4">
    <cfRule type="cellIs" dxfId="0" priority="40" operator="greaterThan">
      <formula>0</formula>
    </cfRule>
  </conditionalFormatting>
  <pageMargins left="0.74" right="0.27559055118110237" top="1.0236220472440944" bottom="0.78740157480314965" header="0.31496062992125984" footer="0.31496062992125984"/>
  <pageSetup paperSize="9" scale="66" orientation="portrait" r:id="rId1"/>
  <headerFooter>
    <oddHeader>&amp;C&amp;"-,Negrito"&amp;12PLANILHA DE FORMAÇÃO DE PREÇOS&amp;"-,Regular"
&amp;11
&amp;"-,Negrito"&amp;10RELATÓRIO DE CUSTO TOTAL</oddHeader>
  </headerFooter>
  <ignoredErrors>
    <ignoredError sqref="G4:H4 F4 J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Supervisor</vt:lpstr>
      <vt:lpstr>Digitadores</vt:lpstr>
      <vt:lpstr>Auxiliares</vt:lpstr>
      <vt:lpstr>Planilha de Custo - Total</vt:lpstr>
      <vt:lpstr>Auxiliares!Area_de_impressao</vt:lpstr>
      <vt:lpstr>Digitadores!Area_de_impressao</vt:lpstr>
      <vt:lpstr>'Planilha de Custo - Total'!Area_de_impressao</vt:lpstr>
      <vt:lpstr>Supervisor!Area_de_impressao</vt:lpstr>
    </vt:vector>
  </TitlesOfParts>
  <Company>Tribunal de Justiça do Estado de São Paulo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imgaem</dc:creator>
  <cp:lastModifiedBy>David William</cp:lastModifiedBy>
  <cp:lastPrinted>2019-08-30T18:23:30Z</cp:lastPrinted>
  <dcterms:created xsi:type="dcterms:W3CDTF">2016-05-13T22:00:38Z</dcterms:created>
  <dcterms:modified xsi:type="dcterms:W3CDTF">2019-11-29T18:17:51Z</dcterms:modified>
</cp:coreProperties>
</file>