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90" windowHeight="7755" tabRatio="500" activeTab="0"/>
  </bookViews>
  <sheets>
    <sheet name="Plan1" sheetId="1" r:id="rId1"/>
    <sheet name="Plan2" sheetId="2" r:id="rId2"/>
    <sheet name="Plan3" sheetId="3" r:id="rId3"/>
    <sheet name="Plan4" sheetId="4" r:id="rId4"/>
    <sheet name="Plan5" sheetId="5" r:id="rId5"/>
    <sheet name="Plan6" sheetId="6" r:id="rId6"/>
    <sheet name="Plan7" sheetId="7" r:id="rId7"/>
    <sheet name="Plan8" sheetId="8" r:id="rId8"/>
    <sheet name="Plan9" sheetId="9" r:id="rId9"/>
    <sheet name="Plan10" sheetId="10" r:id="rId10"/>
    <sheet name="Plan11" sheetId="11" r:id="rId11"/>
    <sheet name="Plan12" sheetId="12" r:id="rId12"/>
    <sheet name="Plan13" sheetId="13" r:id="rId13"/>
    <sheet name="Plan14" sheetId="14" r:id="rId14"/>
    <sheet name="Plan15" sheetId="15" r:id="rId15"/>
    <sheet name="Plan16" sheetId="16" r:id="rId16"/>
  </sheets>
  <definedNames>
    <definedName name="_xlfn.STDEV.S" hidden="1">#NAME?</definedName>
    <definedName name="TABLE_1">'Plan1'!#REF!</definedName>
    <definedName name="TABLE_10_1">NA()</definedName>
    <definedName name="TABLE_11_1">NA()</definedName>
    <definedName name="TABLE_12_1">NA()</definedName>
    <definedName name="TABLE_2_1">NA()</definedName>
    <definedName name="TABLE_3_1">NA()</definedName>
    <definedName name="TABLE_4_1">NA()</definedName>
    <definedName name="TABLE_5_1">NA()</definedName>
    <definedName name="TABLE_6_1">NA()</definedName>
    <definedName name="TABLE_7_1">NA()</definedName>
    <definedName name="TABLE_8_1">NA()</definedName>
    <definedName name="TABLE_9_1">NA()</definedName>
  </definedNames>
  <calcPr fullCalcOnLoad="1"/>
</workbook>
</file>

<file path=xl/sharedStrings.xml><?xml version="1.0" encoding="utf-8"?>
<sst xmlns="http://schemas.openxmlformats.org/spreadsheetml/2006/main" count="266" uniqueCount="130">
  <si>
    <t>SIAD</t>
  </si>
  <si>
    <t>Quant.</t>
  </si>
  <si>
    <t>Descrição</t>
  </si>
  <si>
    <t>UND.</t>
  </si>
  <si>
    <t>COEFICIENTE DE VARIAÇÃO</t>
  </si>
  <si>
    <t>PREÇO TOTAL MÉDIO</t>
  </si>
  <si>
    <t>PREÇO TOTAL MEDIANA</t>
  </si>
  <si>
    <t>PREÇOS DE REFERÊNCIA</t>
  </si>
  <si>
    <t>MENOR PREÇO TOTAL</t>
  </si>
  <si>
    <t>FORNECEDORES</t>
  </si>
  <si>
    <t>un.</t>
  </si>
  <si>
    <t>LOTE</t>
  </si>
  <si>
    <t xml:space="preserve"> </t>
  </si>
  <si>
    <t>ITEM</t>
  </si>
  <si>
    <t>TOTAL LOTE 01</t>
  </si>
  <si>
    <t>TOTAL LOTE 03</t>
  </si>
  <si>
    <t>TOTAL LOTE 04</t>
  </si>
  <si>
    <t>TOTAL LOTE 05</t>
  </si>
  <si>
    <t>TOTAL LOTE 06</t>
  </si>
  <si>
    <t>TOTAL LOTE 07</t>
  </si>
  <si>
    <t>TOTAL LOTE 02</t>
  </si>
  <si>
    <t>PREÇO DEFINIDO PARA O SIAD</t>
  </si>
  <si>
    <t xml:space="preserve">APARELHO TELEFONICO - IDENTIFICACAO: COM IDENTIFICADOR DE CHAMADAS ACOPLADO; CAPACIDADE: NAO APLICAVEL; FUNCOES (1): TOM/PULSE, FLASH, REDISCAGEM, TECLA MUTE, PAUSE; FUNCOES (2): AJUSTE DE VOLUME NA CAMPAINHA, DISPLAY INDICADOR; APARELHO TELEFONICO COM IDENTIFICADOR DE CHAMADAS ACOPLADOS EM UM UNICO APARELHO, TOM/PULSE, TECLA FLASH, REDISCAGEM, TECLA MUTE, PAUSE, AJUSTE DE VOLUME DA CAMPAINHA, DISPLAY INDICADOR, INDICACAO DE CHAMADAS RECEBIDAS/REALIZADAS COM DATA/HORA/DURACAO.  </t>
  </si>
  <si>
    <t>PREÇOS PÚBLICOS</t>
  </si>
  <si>
    <t>BANCO DE PREÇOS</t>
  </si>
  <si>
    <t>INTERNET</t>
  </si>
  <si>
    <t>VÁRIOS SITES</t>
  </si>
  <si>
    <t xml:space="preserve">ARMARIO PARA ESCRITORIO - TIPO: ALTO; MATERIA-PRIMA: ACO CHAPA 22 (0,75MM); PRATELEIRAS/SUPORTE: 04 PRATELEIRAS INTERNAS REGULAVEIS DE 5 EM 5 CM; GAVETAS: SEM GAVETAS; PORTAS: 2 PORTAS; ESTRUTURA/BASE: ACO; DIMENSOES: 198 X 90 X 45 (A X L X P); ARMARIO DE ACO: ALTURA 198CM, LARGURA 90CM, PROFUNDIDADE 45CM.CONFECCIONADO TOTALMENTE EM ACO CHAPA 22 (0,75MM); COM NO MINIMO 4 PRATELEIRAS INTERNAS REGULAVEIS DE 5 EM 5 CM, COM REFORCO LONGITUDINAL EM FORMA DE "OMEGA" NA PARTE INFERIOR DA PRATELEIRA; COM 2 PORTAS DE ABRIR TRANCAVEIS COM CHAVE, ATRAVES DE FECHADURA TIPO YALLE COM TRAVAMENTO INTERNO POR MEIO DE DUAS VARETAS EM ACO E COM 02 (DOIS) PUXADORES EM ZAMAC OU METAL CROMADO DE 100MM TIPO MEIA LUA OU SIMILAR; ACABAMENTO SEM AMASSAMENTOS, SALIENCIAS DE SOLDAS, ARESTAS, ESCORIACOES, REBARBAS, EMPENOS OU DETALHES; TOTALMENTE PINTADO EM ESMALTE SINTETICO COM ESPESSURA DE 30 MICRONS, ELETROSTATICA, COM SECAGEM EM ESTUFA A 150 GRAUS CENTIGRADOS, NA COR CINZA.  </t>
  </si>
  <si>
    <t>PREÇO UNITÁRIO DEFINIDO PARA O SIAD</t>
  </si>
  <si>
    <t xml:space="preserve">BEBEDOURO REFRIGERADO - TIPO: COLUNA/PRESSAO; CAPACIDADE REFRIGERACÃO: CONFORME FABRICANTE; CAPACIDADE RESERVATORIO: CONFORME FABRICANTE; GABINETE: ACO INOX; TORNEIRA: 02 TORNEIRAS (01 PARA COPO E 01 PARA JATO); VAZAO: MINIMA DE 40 LITROS/HORA; TENSAO: 127V; BEBEDOURO TIPO COLUNA/PRESSAO: GABINETE EM ACO INOX; TAMPO EM ACO INOX COM RALO SIFONADO; RESERVATORIO EM ACO INOX 304 COM CAPACIDADE MINIMA DE VAZAO DE AGUA DE 40 L/H; COMPRESSOR SILENCIOSO; FILTRO DE CARVAO ATIVADO; TERMOSTATO PARA CONTROLE DE TEMPERATURA DA AGUA; ALIMENTACAO DIRETA; SISTEMA DE FORNECIMENTO COM 02 (DUAS) TORNEIRAS PARA COPO E JATO EM METAL CROMADO, COM REGULAGEM DE JATO DAGUA; REFRIGERACAO POR COM PRESSOR (MOTOR)1/4 HP/ 190 WATTS;TENSÃO DE 127 VOLTS; CERTIFICADO INMETRO; DIMENSOES: ALTURA 940MM A 1100 MM, LARGURA 250MM A 350MM, PROFUNIDADE 250MM A 350MM.  </t>
  </si>
  <si>
    <t xml:space="preserve">BEBEDOURO REFRIGERADO - TIPO: ACESSIVEL PARA DEFICIENTES VISUAIS; CAPACIDADE REFRIGERACAO: CONFORME FABRICANTE; CAPACIDADE RESERVATORIO: CONFORME FABRICANTE; GABINETE: ACO INOX 304; TORNEIRA: 1 TORNEIRA DE JATO COM LEITURA EM BRAILE; VAZAO: 40 LITROS/HORA; TENSAO: 127V; BEBEDOURO ACESSIVEL (PARA DEFICIENTES): GABINETE EM ACO INOX; TAMPO EM ACO INOX COM RALO SIFONADO; COM ESTRUTURA PARA FIXACAO EM PAREDE;RESERVATORIO EM ACO INOX 304, COM CAPACIDADE MINIMA DE VAZAO DE AGUA DE 40L /H, COMPRESSOR SILENCIOSO; FILTRO COM CARVAO ATIVADO; ALIMENTACAO DIRETA; TEMPERATUA DE AGUA: NATURAL, GELADA E MISTA; SISTEMA DE FORNECIMENTO: 1 TORNEIRA DE JATO, COM REGULAGEM DO FLUXO DE AGUA, COM PROTETOR BUCAL, ACIONAMENTO FRONTAL OU LATERAL, COM LEITURA EM BRAILLE, ATRAVES DO SISTEMA DE TECLAS PUSH BUTTON;REFRIGERACAO POR COMPRESSOR (MOTOR)DE 1/4 HP/190 WATTS; TENSAO 127 VOLTS; CERTIFICADO INMETRO; ATENDE A NORMA ABNT NBR VIGENTE DIMENSÕES: LARGURA MAXIMA DE 580MM, PROFUNDIDADE MAXIMA DE 625MM.  </t>
  </si>
  <si>
    <t xml:space="preserve">BEBEDOURO PARA GARRAFAO AGUA MINERAL - TIPO: SEM GARRAFAO; MATERIA PRIMA: ACO INOX, POLIPROPILENO OU ACO CARBONO PINTADO; MODELO: COM 02 TORNEIRAS; CAPACIDADE DO GARRAFAO: 20 LITROS; RENDIMENTO: MINIMO 2 LITROS/HORA; POTENCIA: MINIMO 80 WATTS; DIMENSOES: ALT=900 A 990MM;LARG=280 A 340 MM;PROF=330 A 370MM; PESO: NAO APLICAVEL; MODELO COM SUPORTE; SEM GALAO; TORRE/COLUNA; CAPACIDADE PARA GALAO DE 20 LITROS; COR BRANCA; RESERVATORIO EM MATERIAL ATOXICO COM CAPACIDADE MINIMO DE 02 LITROS; DUAS TORNEIRAS, SENDO UMA P/ AGUA NATURAL E OUTRA PARA AGUA GELADA; PINGADEIRA REMOVIVEL; RENDIMENTO MINIMO DE 02 LITROS/HORA; CONTROLE DE TEMPERATURA DA AGUA ATRAVES DE TERMOSTATO REGULAVEL TENSAO 127 VOLTS;POTENCIA ENTRE 80 E 160 WATTS; CERTIFICADO DO INMETRO; DIMENSOES DO APARELHO DESEMBALADO: ALTURA = 900 A 990MM; LARGURA = 280 A 340 MM; PROFUNDIDADE = 330 A 370 MM.  </t>
  </si>
  <si>
    <t>1358685 </t>
  </si>
  <si>
    <t xml:space="preserve">PURIFICADOR DE AGUA - CAPACIDADE DE VAZAO: 60 LITROS POR HORA; TENSAO: 127 VOLTS; APARELHO PURIFICADOR DE AGUA COR BRANCA.ECOCOMPRESSOR COM GAS QUE NAO AGRIDA O MEIO AMBIENTE.AGUA FILTRADA SEM ENERGIA.FACIL TROCA DE REFIL, SEM NECESSIDADE DE FERRAMENTAS OU TECNICO ESPECIALIZADO.TROCA DE REFIL SEM FECHAR O REGISTRO.REFIL BACTERIOSTATICO ELIMINA ODORES E SABORES DESMONTAVEL PARA HIGIENIZACAO SERPENTINA EXTERNA PARA FACIL HIGIENIZACAO BANDEJA REMOVIVEL PARA ESVAZIAR E HIGIENIZAR SUPORTE PARA FIXACAO DO APARELHO NA ALVENARIA RECIPIENTE DA AGUA PURIFICADA BLINDADO CONTRA CONTAMINACAO DE INSETOS E POEIRA. Marca: IBBL Fr600 - Specialle Verificar descrição completa no Apenso I.  </t>
  </si>
  <si>
    <t xml:space="preserve">CADEIRA PARA ESCRITÓRIO - FINALIDADE: CHEFIA; TIPO: GIRATÓRIA ERGONÔMICA; ESPALDAR: ALTO; APOIA-BRACOS: COM APOIO PARA BRACOS; ASSENTO/ENCOSTO: MANUFATURADO EM ESPUMA FLEXÍVEL DE POLIURETANO; ESTRUTURA: CHAPA DE PLATAFORMA ESPESSURA MÍNIMA 14MM (BASE); PÉS: COM RODÍZIO; CONTRA-ASSENTO: INJETADA EM POLIPROPILENO COPOLÍMERO; CONTRA-ENCOSTO: INJETADA EM POLIPROPILENO COPOLÍMERO; REGULAGEM: DE ALTURA DO ASSENTO A GÁS COM MOLA DE FINAL CURSO. CADEIRA PARA ESCRITORIO, REVESTIDA EM CREPE 100% POLIESTER, COR PRETA; ESTRUTURA: COMPENSADO MULTILAMINADO (ASSENTO), POLIPROPILENO INJETADO (ENCOSTO); CONTRA-ASSENTO INJETADA EM POLIPROPILENO COPOLIMERO PARA ASSENTO; CONTRA-ENCOSTO INJENTADA EM POLIPROPILENO COPOLIMERO. Verificar descrição completa no Apenso I.  </t>
  </si>
  <si>
    <t xml:space="preserve">CADEIRA PARA ESCRITORIO - FINALIDADE: PARA ATENDIMENTO; TIPO: FIXA; ESPALDAR: MEDIO;APOIA-BRACOS: SEM APOIA BRACOS; ASSENTO/ENCOSTO: REVESTIDOS EM TECIDO RESISTENTE NA COR PRETA; ESTRUTURA: TUBOS DE ACO DE SECAO REDONDA 3/4;ACABAMENTO DOS PES: 4 PES SAPATAS ARTICULADAS AJUSTAVEIS; CONTRA-ASSENTO:REVESTIDA EM COURVIN OU VINIL NA COR PRETA; CONTRA-ENCOSTO: REVESTIDA EM COURVIN OU VINIL NA COR PRETA; REGULAGEM: SEM REGULAGEM;CADEIRA FIXA: DIMENSOES: ASSENTO - LARGURA 43CM, PROFUNDIDADE 40CM. ENCOSTO-LARGURA 42CM ALTURA 33CM.SEM BRACOS; COM 4 PES CONTENDO SAPATAS ARTICULADAS AJUSTAVEIS; ESTRUTURA EM TUBOS DE ACO DE SECAO REDONDA COM ¾", COM PAREDE DE 1,2MM DE ESPESSURA MINIMA,PINTADA ELETROSTATICAMENTE EM EPOXI NA COR PRETA FOSCA, COM SECAGEM EM ESTUFA; ENCOSTO E ASSENTO COM ALMA INTERNA CONFECCIONADA EM COMPENSADO DE 12MM DE ESPESSURA MINIMA, COM ESPUMA INJETADA, DE POLIURETANO, AUTO EXTINGUIVEL, AUSENCIA DE CFC, CARACTERISTICAS ANTI-CHAMAS, ANTI-FUNGOS, DENSIDADE 55 A 58KG/M3, RESILIENCIA CONTROLADA, MOLDADA ANATOMICAMENTE, REVESTIDOS EM TECIDO RESISTENTE NA COR PRETA, LISO, SEM COSTURAS,VINCOS OU RESSALTOS; A PARTE POSTERIOR DO ENCOSTO E A PARTE INFERIOR DO ASSENTO REVESTIDAS EM COURVIM OU VINIL NA COR PRETA; ACABAMENTO AO REDOR DO ASSENTO E DO ENCOSTO EM PVC DO TIPO MACHO/FEMEA NA COR PRETA; ESTRUTURA DO ENCOSTO CONFECCIONADA EM ACO, COM HASTE UNICA EM "L", PERMITINDO ANGULACAO MAXIMA DO ENCOSTO DE 30 GRAUS. ENCOSTO E O ASSENTO FIXADOS A ESTRUTURA DA CADEIRA, POR MEIO DE PARAFUSOS E PORCAS AUTOTRAVANTES (COM GARRAS) EMBUTIDAS NO COMPENSADO, SENDO O COXIM DE ENCOSTO.  </t>
  </si>
  <si>
    <t>1366955 </t>
  </si>
  <si>
    <t xml:space="preserve">CADEIRA PARA ESCRITÓRIO - FINALIDADE: FUNCIONÁRIO; TIPO: GIRATÓRIA ERGONÔMICA; ESPALDAR: MÉDIO; APOIA-BRACOS: COM APOIO PARA BRACOS; ASSENTO/ENCOSTO: MANUFATURADO EM ESPUMA FLEXÍVEL DE POLIURETANO; ESTRUTURA: CHAPA DE PLATAFORMA ESPESSURA MÍNIMA 3 MM (BASE); PÉS: COM RODÍZIO; CONTRA-ASSENTO: INJETADA EM POLIPROPILENO COPOLÍMERO; CONTRA-ENCOSTO: INJENTADA EM POLIPROPILENO COPOLÍMERO; REGULAGEM: DE ALTURA DO ASSENTO A GÁS COM MOLA DE FINAL CURSO, CONFORME ESPECIFICACOES TECNICAS CONSTANTES NO SITE: WWW.COMPRAS.MG.GOV.BR MENU MATERIAIS E SERVICOS &gt; CONSULTA ESPECIFICACOES LONGAS. Verificar descrição completa no Apenso I.  </t>
  </si>
  <si>
    <t xml:space="preserve">LONGARINA - APLICACAO: SALA DE ESPERA; QUANTIDADE LUGARES: 02 LUGARES; ASSENTO/ENCOSTO: REVESTIDOS EM TECIDO RESISTENTE NA COR PRETA; ESTRUTURA: EM METALON 50 X 30, CHAPA 20; PES: COM SAPATAS NIVELADORAS; CONTRA-ASSENTO: EM ESPUMA INJETADA DE POLIURETANO; CONTRA-ENCOSTO: EM ESPUMA INJETADA DE POLIURETANO; LONGARINA 2 LUGARES: ASSENTO: LARGURA 43CM PROFUNDIDADE 40CM,ENCOSTO: LARGURA 42CM ALTURA 33CM, ESTRUTURA: COMPRIMENTO TOTAL DA BASE, 100CM, EM METALON 50X30, CHAPA 20,PINTADO EM EPOXI;SAPATAS NIVELADORAS,PONTEIRAS DE ACABAMENTO DA MESMA COR,ASSENTO E ENCOSTO EM ESPUMA INJETADA,DE POLIURETANO, AUTO EXTINGUIVEL,AUSENCIA DE CFC,ANTI-CHAMAS,ANTI-FUNGOS, DENSIDADE 55 A 58KG/M3, RESILIENCIA CONTROLADA, MOLDADA ANATOMICAMENTE, REVESTIDA EM TECIDO RESISTENTE NA COR PRETA, LISO, SEM COSTURAS,VINCOS OU RESSALTOS, SEM BRACOS, CONTRA CAPA DO ENCOSTO EM POLIPROPILENO, CONTRA CAPA DO ASSENTO EM TNT OU SIMILAR. FIXACAO DO ASSENTO NA ESTRUTURA ATRAVES DE PORCA DE GARRA.ASSENTO E ENCOSTO LIGADOS POR GARFO UNICO EM TUBO OVAL COM CAPA TIPO FOLE, COM SISTEMA DE COXIM FLEXIVEL PARA FIXACAO DO ENCOSTO.  </t>
  </si>
  <si>
    <t xml:space="preserve">LONGARINA - APLICACAO: SALA DE ESPERA; QUANTIDADE LUGARES: 03 LUGARES; ASSENTO/ENCOSTO: REVESTIDOS EM TECIDO NA COR PRETA; ESTRUTURA: METALON 50 X 30, CHAPA 20; PES: SAPATAS NIVELADORAS; CONTRA-ASSENTO: ESPUMA INJETADA DE POLIURETANO; CONTRA-ENCOSTO: ESPUMA INJETADA DE POLIURETANO; LONGARINA 3 LUGARES: ASSENTO: LARGURA 43CM PROFUNDIDADE 40CM, ENCOSTO: LARGURA 42CM ALTURA 33CM, ESTRUTURA: COMPRIMENTO TOTAL DA BASE, 150CM, EM METALON 50 X 30, CHAPA 20, PINTADO EM EPOXI; SAPATAS NIVELADORAS, PONTEIRAS DE ACABAMENTO DA MESMA COR, ASSENTO E ENCOSTO EM ESPUMA INJETADA, DE POLIURETANO, AUTO EXTINGUIVEL, AUSENCIA DE CFC, CARACTERISTICAS ANTI-CHAMAS, ANTI-FUNGOS, DENSIDADE 55 A 58KG/M3, RESILIENCIA CONTROLADA, MOLDADA ANATOMICAMENTE, REVESTIDA EM TECIDO RESISTENTE NA COR PRETA, LISO, SEM COSTURAS, VINCOS OU RESSALTOS, SEM BRACOS, CONTRA CAPA DO ENCOSTO EM POLIPROPILENO, CONTRA CAPA DO ASSENTO EM TNT OU SIMILAR. FIXACAO DO ASSENTO NA ESTRUTURA ATRAVES DE PORCA DE GARRA. ASSENTO E ENCOSTO LIGADOS POR GARFO UNICO EM TUBO OVAL COM CAPA TIPO FOLE, COM SISTEMA DE COXIM FLEXIVEL PARA FIXACAO DO ENCOSTO.  </t>
  </si>
  <si>
    <t>616915 </t>
  </si>
  <si>
    <t xml:space="preserve">FOGAO - FUNCIONAMENTO: A GAS; NUMERO DE BOCAS: 04 BOCAS; OPCIONAIS: FORNO, COM TAMPA EM VIDRO TEMPERADO; MODELO: DOMESTICO, NA COR BRANCA; COM MESA PLANA E TEMPRAS EM ACO INOX.  </t>
  </si>
  <si>
    <t xml:space="preserve">CAFETEIRA ELETRICA - IDENTIFICACAO: DOMESTICA; MATERIA PRIMA: ACO INOX; CAPACIDADE: 06 A 26 XICARAS; POTENCIA: 800 WATTS; TENSAO: 127 VOLTS;  </t>
  </si>
  <si>
    <t xml:space="preserve">FORNO - TIPO: MICROONDAS; CAPACIDADE: MINIMA DE 20 LITROS; POTENCIA: MAXIMA DE 1200W; TEMPERATURA: NAO APLICAVEL; TENSAO: 127 VOLTS; Verificar descrição completa no Apenso I.  </t>
  </si>
  <si>
    <t xml:space="preserve">REFRIGERADOR DOMESTICO - TIPO: GELADEIRA; CAPACIDADE: 240 LITROS; POTENCIA MOTOR: 1/8 HP; ; MATERIA-PRIMA: CHAPA DE ACO; SUPORTE DE APOIO E PES: SUPORTE FIXO E PES COM RODIZIOS; ALIMENTACAO: 127/220 VOLTS; REFRIGERADOR DOMESTICO COM ETIQUETA ENCE "A"  </t>
  </si>
  <si>
    <t xml:space="preserve">CIRCULADOR DE AR, NAO INDUSTRIAL - TIPO: COM HELICE DE 40CM DE DIAMETRO; VELOCIDADE: 03 VELOCIDADES; TENSAO: 127 VOLTS; CIRCULADOR DE AR- NAO INDUSTRIAL, PARA SER UTILIZADO NO CHAO, MAS COM RECUROS DE PARAFUSAMENTO NA PAREDE; BASE E CORPO NAO METALICOS.  </t>
  </si>
  <si>
    <t xml:space="preserve">FRAGMENTADORA - TIPO DE FRAGMENTACAO: TIRAS OU PARTICULAS DE, NO MAXIMO, 6MM DE LARGURA; NIVEL SEGURANCA: DE 2 A 4; TEMPO FUNCIONAMENTO: MINIMO DE 5 MINUTOS LIGADA; CAPACIDADE FRAGMENTACAO: MIN. DE 10 FLS.,1 CD E 1 CARTAO DE CREDITO POR VEZ; VELOCIDADE FRAGMENTACAO: MINIMA DE 2 METROS/MINUTO; CAPACIDADE CESTO: MINIMA DE 23 LITROS; POTENCIA MOTOR: NAO APLICAVEL; ALIMENTACAO: ELETRICA - 110 OU 127 VOLTS; ABERTURA DE INSERCAO DE, NO MINIMO, 220MM; FRAGMENTACAO DE PAPEL A4 (75G/M2), CARTAO DE CREDITO, CD E GRAMPO; RECURSO DE REVERSAO EM CASO DE ATOLAMENTO; PROTECAO CONTRA SOBRECARGA OU SUPERAQUECIMENTO; MANUAL EM PORTUGUES.  </t>
  </si>
  <si>
    <t xml:space="preserve">MAQUINA PROTOCOLADORA - MEDIDAS APROXIMADAS: 14,3CM X 26,0CM X 17,5CM; PESO APROXIMADO: 5,5 KG; NUMERADOR: COM 06 DIGITOS; IMPRESSAO EM ATE DUAS LINHAS. NA PRIMEIRA LINHA E IMPRESSA A DATA NO FORMATO PROGRAMADO, A HORA NO FORMATO HH:MM, UM NUMERADOR SEQUENCIAL, OU COM REPETICAO PROGRAMADA, DE ATE 6 DIGITOS, E UM TEXTO PROGRAMAVEL PELO USUARIO COM ATE 40 CARACTERES. NA SEGUNDA LINHA, CUJA IMPRESSAO E OPCIONAL E COM DESLOCAMENTO MANUAL, IMPRIMA TEXTO PROGRAMAVEL DE ATE 60 CARACTERES. DISPLAY DE CRISTAL LIQUIDO APRESENTAR A DATA E A HORA, TENDO OS DIGITOS DE INDICACAO DA HORA UMA EXCLUSIVA FORMATACAO, QUE ALIADA COM A INCLINACAO DO DISPLAY PROPICIE PERFEITA VISUALIZACAO, TODAS AS PROGRAMACOES DO RELOGIO PROTEGIDAS POR SENHAS, SENDO QUE: SENHA DE USUARIO DA ACESSO A: BLOQUEIO DA IMPRESSAO; TRAVA DE SEQUENCIAMENTO DO NUMERADOR; IMPRESSAO PROGRAMADA PARA CABECALHO OU RODAPE; SENHA DE SUPERVISOR DA ACESSO A:FORMATO DE IMPRESSÃO DA DATA EM DD/MM/AAAA, OU MM/ DD/AAAA OU AINDA AAAA/MM/DD; PROGRAMACAO DE ACERTO DE HORARIO DE VERAO; TURNO DE OPERACAO DO RELOGIO; BLOQUEIO DE OPERACAO DO RELOGIO; INICI ALIZACAO OU RENUMERACAO DO NUMERADOR; PROGRAMACAO DO NUMERO DE VIAS PA RA IMPRESSAO (DE 1 A 9); TEXTO DA PRIMEIRA E DA SEGUNDA LINHA. ALIMENT ACAO: 90 A 240 VAC, AUTOMATICA, 60 HZ GARANTIA DE 12 MESES. Verificar descrição completa no Apenso I.  </t>
  </si>
  <si>
    <t>TOTAL LOTE 08</t>
  </si>
  <si>
    <t>TOTAL LOTE 09</t>
  </si>
  <si>
    <t>TOTAL LOTE 10</t>
  </si>
  <si>
    <t>TOTAL LOTE 11</t>
  </si>
  <si>
    <t>TOTAL LOTE 12</t>
  </si>
  <si>
    <t xml:space="preserve">CAFETEIRA ELETRICA - IDENTIFICACAO: INDUSTRIAL; MATERIA PRIMA: INOX POLIDO ; CAPACIDADE: 6 LITROS; POTENCIA: 1300 W; TENSAO: 127V Verificar descrição completa no Apenso I.  </t>
  </si>
  <si>
    <t xml:space="preserve">CAFETEIRA ELETRICA - IDENTIFICACAO: INDUSTRIAL, CILINDRICA; MATERIA PRIMA: ACO INOX; CAPACIDADE: 20 LITROS; POTENCIA: 3000 W; TENSAO: 220 VOLTS; Complementação da especificação do item de material: CAFETEIRA ELETRICA, INDUSTRIAL, CAPACIDADE DA CALDEIRA 40 LITROS DE AG UA; ALTURA 780 MM X DIAMETRO 340 MM. </t>
  </si>
  <si>
    <t xml:space="preserve">
1719866
</t>
  </si>
  <si>
    <t>CABIDEIRO - TIPO: PEDESTAL; MATERIA-PRIMA: MADEIRA MACICA; APLICACAO: BECA; MEDIDAS: 150 CM X 38 CM (A X L); BASE 40 CM X 5 CM; CABIDEIRO COM ACABAMENTO EM VERNIZ.</t>
  </si>
  <si>
    <t xml:space="preserve">QUADRO PARA USO DIDATICO - MATERIA PRIMA: MELAMINICO; QUADRO BRANCO: SUPERFICIE BRANCA E LISA, PROPRIA PARA USO DE PINCEL ATOMICO, MOLDURA EM ALUMINIO, MEDINDO 120CM DE COMPRIMENTO POR 90CM DE ALTURA, COM SUPORTE PARA APAGADOR, COM SUPORTE TRASEIRO PARA SER FIXADO NA PAREDE. LAMINADO MELAMINICO  </t>
  </si>
  <si>
    <t xml:space="preserve">QUADRO DE AVISO - MATERIA-PRIMA: MOLDURA EM ALUMINIO; REVESTIMENTO: FELTRO VERDE; COMPONENTES: SEM PORTA, COM SUPORTE TRASEIRO PARA FIXACAO; DIMENSOES: 120CM X 90 CM; </t>
  </si>
  <si>
    <t>1367463 </t>
  </si>
  <si>
    <t xml:space="preserve">FABRICADOR DE GELO - MATERIA PRIMA: ACO INOX; TENSAO: 127V/220V; CAPACIDADE PRODUCAO: 22ºC:52KG / 27ºC:50KG / 32ºC:48KG / 37ºC:42KG; CAPACIDADE ARMAZENAMENTO: 6KG/315 CUBOS; MAQUINA DE GELO, TIPO DE GELO: CUBO, GABINETE: ACO INOX COM DEPOSITO INCORPORADO, PRODUCAO (KG/24 HORAS EM TEMPERATURA AMBIENTE): 22°C:52KG 27°C:50KG, 32°C:48KG, 37°C:42KG, PESO: 35KG, TENSAO: 127V/220V, HP NO MINAL. Verificar descrição completa no Apenso I.  </t>
  </si>
  <si>
    <t xml:space="preserve">TELA DE PROJECAO - MATERIA-PRIMA: PELICULA MATTE-WHITE; TIPO: MOVEL COM TRIPE; MEDIDAS: AREA VISUAL (APROX): 244 X 183 CM (LX A); Complementação da especificação do item de material: TELA DE PROJECAO COM TRIPE EM PINTURA ELETROSTATICA. Verificar descrição completa no Apenso I. </t>
  </si>
  <si>
    <t xml:space="preserve">SUPORTE PARA PROJETOR - TIPO: TRIPE 2 BANDEJAS PARA PROJETOR E NOTEBOOK; MATERIA-PRIMA: BANDEJAS EM ACO; TUBO EM ALUMINIO; CAPACIDADE: CARGA MINIMA 10 KG; ACABAMENTO: PINTADO EM EPOXI NA COR PRETA; ALTURA: AJUSTAVEL 0,80 M A 2,0 M; BANDEJA: 400 X 350 MM; ACESSORIOS: SEM ACESSORIOS; SUPORTE , TIPO TRIPE COM INCLINACAO PARA FRENTE E PARA TRAS, E COM GIR O DE 360 GRAUS. Verificar descrição completa no Apenso I. </t>
  </si>
  <si>
    <t xml:space="preserve">TELEVISÃO - TIPO: SMART TV - ULTRA HD 4K; TAMANHO TELA EM POLEGADA: 55 POLEGADAS; TIPO DA TELA: LED; OPCIONAIS: SEM OPCIONAIS; TENSÃO: 110/240 VOLTS; ACESSÓRIOS: CONTROLE REMOTO; SMART TV LED 55" ULTRA HD 4K; COM PROCESSADOR QUAD CORE; CONVERSOR INTEGRADO PARA TV DIGITAL; REDE WI-FI INTEGRADO; PORTA USB E HDMI; ACOMPANHA A TV SUPORTE PARA PAREDE. Verificar descrição completa no Apenso I.  </t>
  </si>
  <si>
    <t>CARRINHOS</t>
  </si>
  <si>
    <t>BEBEDOUROS</t>
  </si>
  <si>
    <t>MÓVEIS DE AÇO</t>
  </si>
  <si>
    <t>CADEIRAS E LONGARINAS</t>
  </si>
  <si>
    <t>ELETRODOMÉSTICOS</t>
  </si>
  <si>
    <t>CABIDEIRO</t>
  </si>
  <si>
    <t>QUADROS</t>
  </si>
  <si>
    <t>MÁQUINA DE GELO</t>
  </si>
  <si>
    <t>N/C</t>
  </si>
  <si>
    <r>
      <t xml:space="preserve">CARRINHOS DE MAO, DE QUATRO RODAS - FINALIDADE: PARA MOVIMENTACAO DE MATERIAL; TIPO: </t>
    </r>
    <r>
      <rPr>
        <b/>
        <sz val="8"/>
        <rFont val="Arial"/>
        <family val="2"/>
      </rPr>
      <t>SUPERMERCADO</t>
    </r>
    <r>
      <rPr>
        <sz val="8"/>
        <rFont val="Arial"/>
        <family val="2"/>
      </rPr>
      <t xml:space="preserve">; CAPACIDADE: PARA 90 KG;  </t>
    </r>
  </si>
  <si>
    <r>
      <t xml:space="preserve">CARRINHO DE MAO, DE QUATRO RODAS - FINALIDADE: TRANSPORTE DE MALOTES; </t>
    </r>
    <r>
      <rPr>
        <b/>
        <sz val="8"/>
        <rFont val="Arial"/>
        <family val="2"/>
      </rPr>
      <t>TIPO: GAIOLA</t>
    </r>
    <r>
      <rPr>
        <sz val="8"/>
        <rFont val="Arial"/>
        <family val="2"/>
      </rPr>
      <t xml:space="preserve">; CAPACIDADE: 300 KG; Complementação da especificação do item de material: CARRO EM TELA ZINCADA;COM UMA LATERAL MOVEL, MEDINDO 860 X 590 X 800 (C X L X A); COM 2 RODIZIOS FIXOS E 2 GIRATORIOS ZINCADOS, REFORCADO, SENDO ESTES COM RODA DE 6" DIAMETRO POR 2" DE LARGURA DE BORRACHA COM NUCLEO DE CHAPA ZINCADA E ROLAMENTO DE ESFERA. </t>
    </r>
  </si>
  <si>
    <r>
      <rPr>
        <b/>
        <sz val="8"/>
        <rFont val="Arial"/>
        <family val="2"/>
      </rPr>
      <t xml:space="preserve">CARRO ARMAZÉM </t>
    </r>
    <r>
      <rPr>
        <sz val="8"/>
        <rFont val="Arial"/>
        <family val="2"/>
      </rPr>
      <t xml:space="preserve">PARA MOVIMENTAÇÃO DE MATERIAL - TIPO: BAIXO, RECLINÁVEL, COM 02 RODÍZIOS; MATÉRIA-PRIMA: CHAPA DE AÇO COM ESTRUTURA EM FERRO TUBULAR; CAPACIDADE DE CARGA: ATE 400KG. CHASSI DE FERRO TUBULAR REFORÇADO. MEDIDAS APROXIMADAS: 1,40M X 0,50M; ABA DE 0,40M, COM 02 RODAS GALVANIZADAS DESMONTÁVEIS, ROLAMENTOS DE ROLETE, PNEUS COM CÂMARA 325 X 8".  </t>
    </r>
  </si>
  <si>
    <r>
      <rPr>
        <b/>
        <sz val="8"/>
        <rFont val="Arial"/>
        <family val="2"/>
      </rPr>
      <t>CARRINHO PARA CAFÉ -</t>
    </r>
    <r>
      <rPr>
        <sz val="8"/>
        <rFont val="Arial"/>
        <family val="2"/>
      </rPr>
      <t xml:space="preserve"> MATÉRIA-PRIMA: AÇO INOX AISI 304 COM ACABAMENTO POLIDO; CHAPA 24; TIPO: COM 04 RODÍZIOS; NUMERO DE PLANOS: 04 PLANOS; DIMENSÕES: 50CM DE LARGURA E 85CM DE ALTURA; CARRINHO PARA SERVIÇO DE CAFÉ COM TODA ESTRUTURA EM TUBO QUADRADO 20X20 CHAPA 18 E TAMBÉM EM AÇO INOX; MEDIDAS EXTERNAS: 80CM DE COMPRIMENTO, 50CM DE LARGURA E 85CM DE ALTURA SEM CONTAR COM OS RODÍZIOS; QUATRO BANDEJAS MEDINDO 45CM DE LARGURA, 47CM DE COMPRIMENTO, 6CM DE PROFUNDIDADE, COM ABAS DE 2CM; COMPARTIMENTO FECHADO MEDINDO 30CM DE COMPRIMENTO, 50CM DE LARGURA, 85CM DE ALTURA, COM UMA PRATELEIRA INTERNA FORMANDO VÃO INFERIOR DO COMPARTIMENTO DE 50CM E UMA PORTA FRONTAL PARA FECHAR OS DOIS COMPARTIMENTOS SIMULTANEAMENTE; BARRA PARA MANUSEAR O CARRINHO EM TUBO REDONDO DE ¾ POLEGADAS; QUATRO RODÍZIOS MACIÇOS DE 6X2 REFERENCIA R62 PRM RODA MACIÇA, GGS62 SUPORTE GIRATÓRIO, GFS62 SUPORTE FIXO  </t>
    </r>
  </si>
  <si>
    <r>
      <t xml:space="preserve">CARRINHO DE MÃO TIPO </t>
    </r>
    <r>
      <rPr>
        <b/>
        <sz val="8"/>
        <rFont val="Arial"/>
        <family val="2"/>
      </rPr>
      <t xml:space="preserve">TRANSPORTE DE BAGAGEM </t>
    </r>
    <r>
      <rPr>
        <sz val="8"/>
        <rFont val="Arial"/>
        <family val="2"/>
      </rPr>
      <t xml:space="preserve">- ESTRUTURA: AÇO; NÚMERO DE RODAS: 2 RODAS MACIÇAS EMBORRACHADAS, MÍNIMO 5 POLEGADAS; CAPACIDADE DE CARGA: </t>
    </r>
    <r>
      <rPr>
        <b/>
        <sz val="8"/>
        <rFont val="Arial"/>
        <family val="2"/>
      </rPr>
      <t>MÍNIMA DE 60 KG;</t>
    </r>
    <r>
      <rPr>
        <sz val="8"/>
        <rFont val="Arial"/>
        <family val="2"/>
      </rPr>
      <t xml:space="preserve"> MEDIDAS: ABERTO 100 X 35 CM (A X L); BASE 30 X 30 CM; COMPLEMENTAÇÃO DA ESPECIFICAÇÃO DO ITEM DE MATERIAL- TIPO: DOBRÁVEL; TOLERÂNCIA DE 15% NAS MEDIDAS; MÍNIMO DE 4 ELÁSTICOS COM GANCHOS PARA AMARRAÇÃO DE, APROXIMADAMENTE, 1,5M.  </t>
    </r>
  </si>
  <si>
    <t>N/E</t>
  </si>
  <si>
    <t>MÁQUINAS DE CAFÉ</t>
  </si>
  <si>
    <t>GONDOLAR BH - EPP</t>
  </si>
  <si>
    <r>
      <t xml:space="preserve">ARQUIVO PARA ESCRITORIO - TIPO: VERTICAL; FINALIDADE: ARQUIVO DE PASTAS SUSPENSAS TAMANHO OFICIO; GAVETAS: </t>
    </r>
    <r>
      <rPr>
        <b/>
        <sz val="8"/>
        <rFont val="Arial"/>
        <family val="2"/>
      </rPr>
      <t>04 GAVETA</t>
    </r>
    <r>
      <rPr>
        <sz val="8"/>
        <rFont val="Arial"/>
        <family val="2"/>
      </rPr>
      <t xml:space="preserve">S; MATERIA-PRIMA: ACO CHAPA 22; DIMENSOES: 133CM(ALT.) X 47CM(LARG.) X 71CM(PROF.); ARQUIVO DE ACO, ALTURA </t>
    </r>
    <r>
      <rPr>
        <b/>
        <sz val="8"/>
        <rFont val="Arial"/>
        <family val="2"/>
      </rPr>
      <t>133CM, LARGURA 47CM, PROFUNDIDADE 71CM,</t>
    </r>
    <r>
      <rPr>
        <sz val="8"/>
        <rFont val="Arial"/>
        <family val="2"/>
      </rPr>
      <t xml:space="preserve"> CONFECCIONADO TOTALMENTE EM ACO CHAPA 22; PESO TOTAL DO ARQUIVO 47KG E 400G; COM 4 GAVETAS PARA ARQUIVAMENTO DE PASTAS SUSPENSAS TAMANHO OFICIO;CARRINHOS TELESCOPICOS 500MM EM CHAPA PESADA, COM FUNCIONAMENTO PROGRESSIVO E TRAVA DE SEGURANCA, SISTEMA DE TRAVAMENTO UNICO DAS GAVETAS POR MEIO DE FECHADURA TIPO YALE, PUXADORES EM ZAMAC CROMADO E PORTA-ETIQUETAS EM METAL OU ESTAMPADA NA PROPRIA CHAPA, EM CADA GAVETA; TOTALMENTE PINTADO EM ESMALTE SINTETICO COM ESPESSURA DE 30 MICRONS,ELETROSTATICA COM SECAGEM EM ESTUFA A 150 GRAUS CENTIGRADOS, NA COR CINZA CLARO.  </t>
    </r>
  </si>
  <si>
    <r>
      <t>ESCANINHO PARA ESCRITORIO - MATERIA-PRIMA: ACO; COMPARTIMENTO: 08; DIMENSOES:</t>
    </r>
    <r>
      <rPr>
        <b/>
        <sz val="8"/>
        <rFont val="Arial"/>
        <family val="2"/>
      </rPr>
      <t xml:space="preserve"> 1,98(ALT.) X 1,2 (LARG.) X 0,42M (PROF</t>
    </r>
    <r>
      <rPr>
        <sz val="8"/>
        <rFont val="Arial"/>
        <family val="2"/>
      </rPr>
      <t>.); ESCANINHO EM ACO COM</t>
    </r>
    <r>
      <rPr>
        <b/>
        <sz val="8"/>
        <rFont val="Arial"/>
        <family val="2"/>
      </rPr>
      <t xml:space="preserve"> 08</t>
    </r>
    <r>
      <rPr>
        <sz val="8"/>
        <rFont val="Arial"/>
        <family val="2"/>
      </rPr>
      <t xml:space="preserve"> PORTAS, COM FECHADURA EM CADA PORTA, PINTADO NA COR SOLICITADA PELO ORGAO/ENTIDADE MEDINDO 1,98(ALT.)X1,2M(LARG.)X(0,42M(PROF.), ESPESSURA MINIMA DAS CHAPAS, LATERAIS, TAMPO, FUNDO, COSTA, PORTAS E DIVISORIAS VERTICAIS NUMERO 22, DIVISOES HORIZONTAIS NUMERO 26, PES NUMERO 14. ADMINTE-SE A VARIACAO DE ATE 05 POR CENTO NAS MEDIAS LARGURA, PROFUNDIDADE E ALTURA.  </t>
    </r>
  </si>
  <si>
    <r>
      <t xml:space="preserve">ESTANTE ESCRITORIO - MATERIAL: ACO CHAPA 22 NAS LATERAIS; DIMENSOES: </t>
    </r>
    <r>
      <rPr>
        <b/>
        <sz val="8"/>
        <rFont val="Arial"/>
        <family val="2"/>
      </rPr>
      <t>198CM(ALT.) X 92CM(LARG.) X 30CM</t>
    </r>
    <r>
      <rPr>
        <sz val="8"/>
        <rFont val="Arial"/>
        <family val="2"/>
      </rPr>
      <t xml:space="preserve"> (PROF.); NUMERO DE</t>
    </r>
    <r>
      <rPr>
        <b/>
        <sz val="8"/>
        <rFont val="Arial"/>
        <family val="2"/>
      </rPr>
      <t xml:space="preserve"> PRATELEIRAS: 06 </t>
    </r>
    <r>
      <rPr>
        <sz val="8"/>
        <rFont val="Arial"/>
        <family val="2"/>
      </rPr>
      <t xml:space="preserve">PRATELEIRAS; MATERIAL PRATELEIRA: CHAPA DE ACO 20 (0,90 MM); ESTANTE DE ACO, ALTURA 198CM, LARGURA 92CM, PROFUNDIDADE 30CM, COM 06 PRATELEIRAS REGULAVEIS DE 5 EM 5 CM, COM REFORCO LONGITUDINAL EM FORMA DE OMEGA NA PARTE INFERIOR DAS PRATELEIRAS, CONFECCIONADAS EM CHAPA DE ACO "20" (0,90 MM) E CANTONEIRA (COLUNA) EM CHAPA DE ACO "14" (1,9 MM); PESO TOTAL DA ESTANTE 32KG E 600G; FECHADA NAS LATERAIS COM CHAPA DE ACO 22, COM PARAFUSOS E PORCAS GALVANIZADOS; TRAVAMENTO EM "X" NAS COSTAS; CHAPA TRATADA CONTRA OXIDACAO EM FOSFATO DE ZINCO E PINTURA EM ESMALTE SINTETICO ESPECIAL NA COR CINZA CLARO.  </t>
    </r>
  </si>
  <si>
    <t>EXECUTIVA -ME</t>
  </si>
  <si>
    <r>
      <t xml:space="preserve">PROJETOR MULTIMIDIA - ENTRADA: </t>
    </r>
    <r>
      <rPr>
        <b/>
        <sz val="8"/>
        <rFont val="Arial"/>
        <family val="2"/>
      </rPr>
      <t>2 X HDMI; USB; VGA</t>
    </r>
    <r>
      <rPr>
        <sz val="8"/>
        <rFont val="Arial"/>
        <family val="2"/>
      </rPr>
      <t xml:space="preserve">; COMPATIBILIDADE: ANDROID; WINDOWS; DISPOSITIVOS MHL; AUDIO: MINIMO 10W NATIVO E CONEXAO PARA PLUG P2; RESOLUCAO REAL: </t>
    </r>
    <r>
      <rPr>
        <b/>
        <sz val="8"/>
        <rFont val="Arial"/>
        <family val="2"/>
      </rPr>
      <t>MINIMO 1080P</t>
    </r>
    <r>
      <rPr>
        <sz val="8"/>
        <rFont val="Arial"/>
        <family val="2"/>
      </rPr>
      <t>; RESOLUCOES SUPORTADAS (1): VGA; SVGA; XGA; SXGA; SDTV; HDTV; RESOLUCOES SUPORTADAS (2): FULL HD; CORES PROJETAVEIS:: ATE 1 BILHAO; TAXA DE CONTRASTE: MÍNIMO 15000 POR 1; LUMINOSIDADE: MINIMO</t>
    </r>
    <r>
      <rPr>
        <b/>
        <sz val="8"/>
        <rFont val="Arial"/>
        <family val="2"/>
      </rPr>
      <t xml:space="preserve"> 2200 LUMENS</t>
    </r>
    <r>
      <rPr>
        <sz val="8"/>
        <rFont val="Arial"/>
        <family val="2"/>
      </rPr>
      <t xml:space="preserve"> EM BRANCO E 2200 EM CORES; TAMANHO IMAGEM: 16 POR 9; LAMPADA DE PROJECAO: COM VIDA UTIL MINIMA DE 5000 H; TENSAO: 100 - 240 V; ACESSORIOS: CONTROLE REMOTO C/PILHAS AA; BOLSA P/ TRANSPORTE; ACESSORIOS (1): CABO DE ENERGIA COM PLUG PADRAO NBR VIGENTE ; ACESSORIOS (2): CABO USB, SOFTWARE PARA CONEXAO; Complementação da especificação do item de material: PROJETOR MULTIMIDIA COM ENABLED ENABLED PARA ESPELHAMENTO E CARREGAME NTO; CONTROLE DE FOCO, ZOOM E ANGULO NO APARELHO; </t>
    </r>
    <r>
      <rPr>
        <b/>
        <sz val="8"/>
        <rFont val="Arial"/>
        <family val="2"/>
      </rPr>
      <t xml:space="preserve">CONEXAO VIA WIRELES S PARA VIDEO.   </t>
    </r>
  </si>
  <si>
    <t>RICARDO DE SOUZA CAMPOS - ME</t>
  </si>
  <si>
    <t>PEG INFORMÁTICA-ME</t>
  </si>
  <si>
    <t>BEBTEC - ME</t>
  </si>
  <si>
    <t>LIDER - ME</t>
  </si>
  <si>
    <t>REAL - ME</t>
  </si>
  <si>
    <t>PROSUPER - EPP</t>
  </si>
  <si>
    <t>LIVRARIA SONHO REAL - ME/EPP</t>
  </si>
  <si>
    <t>RICARDO DE SOUZA CAMPOS - ME/EPP</t>
  </si>
  <si>
    <t>PEG INFORMÁTICA-ME/EPP</t>
  </si>
  <si>
    <t>TS CABIDES - ME</t>
  </si>
  <si>
    <t>RM MÁQUINAS  - MR - ME</t>
  </si>
  <si>
    <t>BENTO G CARRINHOS -ME</t>
  </si>
  <si>
    <t>ISALOG - EPP</t>
  </si>
  <si>
    <t>THERJ-EPP</t>
  </si>
  <si>
    <t>VITOR SILVESTRE - ME/EPP</t>
  </si>
  <si>
    <t>APARELHOS TELEFÔNICOS</t>
  </si>
  <si>
    <t xml:space="preserve">    </t>
  </si>
  <si>
    <t>CREATIVE CÓPIAS</t>
  </si>
  <si>
    <t>WDS</t>
  </si>
  <si>
    <t>UFFFICIO MÓVEIS - ME</t>
  </si>
  <si>
    <t>GERBRA - ME</t>
  </si>
  <si>
    <t>FRAGMENTADORA E PROTOCOLADORA</t>
  </si>
  <si>
    <t>CASAS BHAIA</t>
  </si>
  <si>
    <t>ETNA</t>
  </si>
  <si>
    <t>SUBMARINO</t>
  </si>
  <si>
    <t xml:space="preserve">PROJETORES </t>
  </si>
  <si>
    <t>US PRICE</t>
  </si>
  <si>
    <t>MARCELO EUSTÁQUIO</t>
  </si>
  <si>
    <t>DT OFFICE-ME</t>
  </si>
  <si>
    <t>Cotou produto diverso, sem fechamento lateral</t>
  </si>
  <si>
    <t>cotação reprovada pela DIMAT</t>
  </si>
  <si>
    <t>cotação reprovada  pela DIMAT</t>
  </si>
  <si>
    <t>cotação reprovada pela DIMAN/DIMAT</t>
  </si>
  <si>
    <t>GADOTI</t>
  </si>
  <si>
    <t>Cotou produto diverso com apenas 3 bandejas</t>
  </si>
  <si>
    <t>SÁ GONDOLAS DE AÇO - GRANDE PORTE</t>
  </si>
  <si>
    <t>DISTRIBUIDORA DE GONDOLAS EIRELI</t>
  </si>
  <si>
    <t>Cotou produto diverso, conforme a DIMAT</t>
  </si>
  <si>
    <t>AMPIA DESIGN - ME</t>
  </si>
  <si>
    <t>MARELLI - ME</t>
  </si>
  <si>
    <t>NILKO - DEMAIS</t>
  </si>
  <si>
    <t>Cotou produto diverso,conforme a DIMAT</t>
  </si>
  <si>
    <r>
      <rPr>
        <b/>
        <sz val="12"/>
        <rFont val="Arial"/>
        <family val="2"/>
      </rPr>
      <t xml:space="preserve">1 - </t>
    </r>
    <r>
      <rPr>
        <sz val="12"/>
        <rFont val="Arial"/>
        <family val="2"/>
      </rPr>
      <t xml:space="preserve">Mapa de preços atualizado em atendimento ao despacho DIMAT SEI 565869.      </t>
    </r>
    <r>
      <rPr>
        <b/>
        <sz val="12"/>
        <rFont val="Arial"/>
        <family val="2"/>
      </rPr>
      <t xml:space="preserve">                                                                                                                                                                                                                                                                                                                                                                                                                          2 - </t>
    </r>
    <r>
      <rPr>
        <sz val="12"/>
        <rFont val="Arial"/>
        <family val="2"/>
      </rPr>
      <t xml:space="preserve">N/C = Não cotado, NE = Não encontrado.  </t>
    </r>
    <r>
      <rPr>
        <b/>
        <sz val="12"/>
        <rFont val="Arial"/>
        <family val="2"/>
      </rPr>
      <t xml:space="preserve">                                                                                                                                                                                                                                                                                                                                                            </t>
    </r>
    <r>
      <rPr>
        <sz val="12"/>
        <rFont val="Arial"/>
        <family val="2"/>
      </rPr>
      <t xml:space="preserve">                                                                                                                                                                                                                                                                                </t>
    </r>
    <r>
      <rPr>
        <b/>
        <sz val="12"/>
        <rFont val="Arial"/>
        <family val="2"/>
      </rPr>
      <t xml:space="preserve">                                                    </t>
    </r>
    <r>
      <rPr>
        <sz val="12"/>
        <rFont val="Arial"/>
        <family val="2"/>
      </rPr>
      <t xml:space="preserve">                                                                                              </t>
    </r>
    <r>
      <rPr>
        <b/>
        <sz val="12"/>
        <color indexed="17"/>
        <rFont val="Arial"/>
        <family val="2"/>
      </rPr>
      <t xml:space="preserve">                                                                                                                                                                                                                                           </t>
    </r>
    <r>
      <rPr>
        <b/>
        <sz val="12"/>
        <rFont val="Arial"/>
        <family val="2"/>
      </rPr>
      <t>3</t>
    </r>
    <r>
      <rPr>
        <b/>
        <sz val="12"/>
        <color indexed="17"/>
        <rFont val="Arial"/>
        <family val="2"/>
      </rPr>
      <t xml:space="preserve"> -</t>
    </r>
    <r>
      <rPr>
        <sz val="12"/>
        <rFont val="Arial"/>
        <family val="2"/>
      </rPr>
      <t xml:space="preserve"> Orçamentos com quantitativos diferentes foram aproveitadas das coletas efetuadas para os processos do  SEI n° 19.16.3900.0009911/2020-11 e 19.16.3900.0007105/2020-16, ambos para verificação de vantajosidade, conforme orientação da coordenação da DGCL.       </t>
    </r>
    <r>
      <rPr>
        <b/>
        <sz val="12"/>
        <rFont val="Arial"/>
        <family val="2"/>
      </rPr>
      <t xml:space="preserve">                                                                                                    4 - </t>
    </r>
    <r>
      <rPr>
        <sz val="12"/>
        <rFont val="Arial"/>
        <family val="2"/>
      </rPr>
      <t xml:space="preserve">Lote 5, item 1, a cotação do Banco de Preços não participa dos cálculos, tendo em vista que “Conforme jurisprudência dos Tribunais de Contas, doutrina já consolidada e orientações constantes da IN MPOG 05/2014, deve-se diversificar ao máximo as fontes de pesquisa, evitando-se pesquisas exclusivamente com fornecedores, a fim de combater o sobrepreço. Neste sentido, considerando que ampliação de fontes visa combater o sobrepreço, é possível não considerar na fórmula eventuais preços obtidos em outras fontes que estejam superiores aos cotados com os fornecedores. Neste caso, é importante fazer constar a coluna da fonte pesquisada, e apenas retirar o seu valor da fórmula, fazendo constar tal observação no mapa.”    </t>
    </r>
    <r>
      <rPr>
        <sz val="12"/>
        <color indexed="17"/>
        <rFont val="Arial"/>
        <family val="2"/>
      </rPr>
      <t xml:space="preserve">                                                                                                                                                                                                                                                                                                                                                                                                                                                                   </t>
    </r>
    <r>
      <rPr>
        <b/>
        <sz val="12"/>
        <rFont val="Arial"/>
        <family val="2"/>
      </rPr>
      <t>5 -</t>
    </r>
    <r>
      <rPr>
        <sz val="12"/>
        <rFont val="Arial"/>
        <family val="2"/>
      </rPr>
      <t xml:space="preserve"> No aguardo de orientação institucional, que esta sendo tratada no processo SEI 19.16.3719.0003818/2019-12, como forma objetiva de se tratar preços discrepantes foi utilizada mediana para todos os itens cujo coeficiente de variação é superior a 25%, conforme critério DATAPREV.                                                                                                                                                                                                                                                                                                                                                                                                                                                                                                                                                                                                                          </t>
    </r>
    <r>
      <rPr>
        <b/>
        <sz val="12"/>
        <rFont val="Arial"/>
        <family val="2"/>
      </rPr>
      <t>6</t>
    </r>
    <r>
      <rPr>
        <sz val="12"/>
        <rFont val="Arial"/>
        <family val="2"/>
      </rPr>
      <t xml:space="preserve"> - Os preços de referência unitário e total estão, respectivamente, em destaque nas colunas</t>
    </r>
    <r>
      <rPr>
        <sz val="12"/>
        <color indexed="17"/>
        <rFont val="Arial"/>
        <family val="2"/>
      </rPr>
      <t xml:space="preserve"> S e T.                                                                                     </t>
    </r>
    <r>
      <rPr>
        <b/>
        <sz val="12"/>
        <color indexed="17"/>
        <rFont val="Arial"/>
        <family val="2"/>
      </rPr>
      <t xml:space="preserve">                                                                                                                                                                                                                                                                                                               </t>
    </r>
    <r>
      <rPr>
        <b/>
        <sz val="12"/>
        <rFont val="Arial"/>
        <family val="2"/>
      </rPr>
      <t xml:space="preserve">7 - </t>
    </r>
    <r>
      <rPr>
        <sz val="12"/>
        <rFont val="Arial"/>
        <family val="2"/>
      </rPr>
      <t>Informações sobre porte das empresas declaradas nos respectivos formulários de coleta de preços ou obtidas em cosultas no site da Receita Federal</t>
    </r>
    <r>
      <rPr>
        <sz val="12"/>
        <color indexed="17"/>
        <rFont val="Arial"/>
        <family val="2"/>
      </rPr>
      <t xml:space="preserve">                                                                                                                                                                                                                                                                                                              </t>
    </r>
    <r>
      <rPr>
        <b/>
        <sz val="12"/>
        <rFont val="Arial"/>
        <family val="2"/>
      </rPr>
      <t xml:space="preserve">8 - </t>
    </r>
    <r>
      <rPr>
        <sz val="12"/>
        <rFont val="Arial"/>
        <family val="2"/>
      </rPr>
      <t xml:space="preserve">Apesar das tentativas de obtenção de mais orçamentos, conforme (doc. SEI n° 0342078), houve fornecedores que declinaram, ou não retornaram às solicitações de orçamentos. </t>
    </r>
    <r>
      <rPr>
        <sz val="12"/>
        <color indexed="17"/>
        <rFont val="Arial"/>
        <family val="2"/>
      </rPr>
      <t xml:space="preserve">                                                                                                                                                                                                                                                    </t>
    </r>
  </si>
  <si>
    <t>PROCESSO SEI 19.16.3900.0013096/2020-55                                                                                                                                                                                                                                                                                                                                                                                                                                                                                                                                                                                                                                                                      MAPA DE PREÇOS -  BENS PERMANENTES                                                                                                                                                                                                                                                                                                                                                                                                                                                                       Data de Emissão: 29/10/20/2020                                                                                                                                                                                                                                                                                                                                                                                                                                                                                               Elaborado por: Sílvia M L Costa - Mamp 1811</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</si>
</sst>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 ;&quot; (&quot;#,##0.00\);&quot; -&quot;#\ ;@\ "/>
    <numFmt numFmtId="165" formatCode="&quot;Sim&quot;;&quot;Sim&quot;;&quot;Não&quot;"/>
    <numFmt numFmtId="166" formatCode="&quot;Verdadeiro&quot;;&quot;Verdadeiro&quot;;&quot;Falso&quot;"/>
    <numFmt numFmtId="167" formatCode="&quot;Ativado&quot;;&quot;Ativado&quot;;&quot;Desativado&quot;"/>
    <numFmt numFmtId="168" formatCode="[$€-2]\ #,##0.00_);[Red]\([$€-2]\ #,##0.00\)"/>
    <numFmt numFmtId="169" formatCode="#,##0.000"/>
    <numFmt numFmtId="170" formatCode="#,##0.000\ ;&quot; (&quot;#,##0.000\);&quot; -&quot;#.0\ ;@\ "/>
    <numFmt numFmtId="171" formatCode="#,##0.0000\ ;&quot; (&quot;#,##0.0000\);&quot; -&quot;#.00\ ;@\ "/>
    <numFmt numFmtId="172" formatCode="#,##0.00000\ ;&quot; (&quot;#,##0.00000\);&quot; -&quot;#.000\ ;@\ "/>
    <numFmt numFmtId="173" formatCode="#,##0.0000"/>
    <numFmt numFmtId="174" formatCode="&quot;Ativar&quot;;&quot;Ativar&quot;;&quot;Desativar&quot;"/>
  </numFmts>
  <fonts count="48">
    <font>
      <sz val="10"/>
      <name val="Arial"/>
      <family val="2"/>
    </font>
    <font>
      <sz val="8"/>
      <name val="Arial"/>
      <family val="2"/>
    </font>
    <font>
      <b/>
      <sz val="8"/>
      <name val="Arial"/>
      <family val="2"/>
    </font>
    <font>
      <sz val="10"/>
      <name val="Times New Roman"/>
      <family val="1"/>
    </font>
    <font>
      <b/>
      <sz val="11"/>
      <name val="Arial"/>
      <family val="2"/>
    </font>
    <font>
      <b/>
      <sz val="12"/>
      <name val="Arial"/>
      <family val="2"/>
    </font>
    <font>
      <b/>
      <sz val="12"/>
      <name val="Times New Roman"/>
      <family val="1"/>
    </font>
    <font>
      <sz val="12"/>
      <name val="Arial"/>
      <family val="2"/>
    </font>
    <font>
      <b/>
      <sz val="14"/>
      <name val="Times New Roman"/>
      <family val="1"/>
    </font>
    <font>
      <b/>
      <sz val="12"/>
      <color indexed="17"/>
      <name val="Arial"/>
      <family val="2"/>
    </font>
    <font>
      <sz val="12"/>
      <color indexed="17"/>
      <name val="Arial"/>
      <family val="2"/>
    </font>
    <font>
      <sz val="14"/>
      <name val="Times New Roman"/>
      <family val="1"/>
    </font>
    <font>
      <b/>
      <sz val="10"/>
      <name val="Arial"/>
      <family val="2"/>
    </font>
    <font>
      <b/>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40" fillId="21" borderId="5" applyNumberFormat="0" applyAlignment="0" applyProtection="0"/>
    <xf numFmtId="41"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164" fontId="0" fillId="0" borderId="0" applyFill="0" applyBorder="0" applyAlignment="0" applyProtection="0"/>
  </cellStyleXfs>
  <cellXfs count="77">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0" fillId="0" borderId="0" xfId="0" applyFont="1" applyFill="1" applyAlignment="1">
      <alignment/>
    </xf>
    <xf numFmtId="0" fontId="1" fillId="0" borderId="0" xfId="0" applyFont="1" applyAlignment="1">
      <alignment/>
    </xf>
    <xf numFmtId="0" fontId="1" fillId="0" borderId="0" xfId="0" applyFont="1" applyAlignment="1">
      <alignment horizontal="left"/>
    </xf>
    <xf numFmtId="0" fontId="2" fillId="0" borderId="0" xfId="0" applyFont="1" applyAlignment="1">
      <alignment vertical="center"/>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 fontId="3" fillId="0" borderId="10" xfId="0" applyNumberFormat="1"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4" fillId="0" borderId="0" xfId="0" applyFont="1" applyAlignment="1">
      <alignment horizontal="left"/>
    </xf>
    <xf numFmtId="164" fontId="3" fillId="0" borderId="10" xfId="60" applyFont="1" applyFill="1" applyBorder="1" applyAlignment="1" applyProtection="1">
      <alignment horizontal="center" vertical="center"/>
      <protection locked="0"/>
    </xf>
    <xf numFmtId="9" fontId="0" fillId="0" borderId="10" xfId="49"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4" fontId="3" fillId="0" borderId="11" xfId="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1" fillId="0" borderId="0" xfId="0" applyFont="1" applyFill="1" applyAlignment="1">
      <alignment/>
    </xf>
    <xf numFmtId="0" fontId="3" fillId="0" borderId="11" xfId="0" applyFont="1" applyFill="1" applyBorder="1" applyAlignment="1" applyProtection="1">
      <alignment horizontal="center" vertical="center" wrapText="1"/>
      <protection locked="0"/>
    </xf>
    <xf numFmtId="0" fontId="1" fillId="0" borderId="10" xfId="0" applyFont="1" applyBorder="1" applyAlignment="1">
      <alignment horizontal="justify" vertical="center" wrapText="1"/>
    </xf>
    <xf numFmtId="0" fontId="0" fillId="0" borderId="0" xfId="0" applyAlignment="1">
      <alignment horizontal="center"/>
    </xf>
    <xf numFmtId="0" fontId="12" fillId="0" borderId="10" xfId="0" applyFont="1" applyFill="1" applyBorder="1" applyAlignment="1">
      <alignment horizontal="center" vertical="center" wrapText="1"/>
    </xf>
    <xf numFmtId="4" fontId="11" fillId="0" borderId="10" xfId="0" applyNumberFormat="1" applyFont="1" applyFill="1" applyBorder="1" applyAlignment="1" applyProtection="1">
      <alignment horizontal="center" vertical="center" wrapText="1"/>
      <protection locked="0"/>
    </xf>
    <xf numFmtId="4" fontId="8" fillId="6" borderId="10" xfId="0" applyNumberFormat="1" applyFont="1" applyFill="1" applyBorder="1" applyAlignment="1" applyProtection="1">
      <alignment horizontal="center" vertical="center" wrapText="1"/>
      <protection locked="0"/>
    </xf>
    <xf numFmtId="0" fontId="0" fillId="0" borderId="11" xfId="0" applyFont="1" applyFill="1" applyBorder="1" applyAlignment="1">
      <alignment horizontal="right" vertical="center"/>
    </xf>
    <xf numFmtId="0" fontId="12" fillId="0" borderId="11" xfId="0" applyFont="1" applyFill="1" applyBorder="1" applyAlignment="1">
      <alignment horizontal="right" vertical="center"/>
    </xf>
    <xf numFmtId="0" fontId="12" fillId="0" borderId="11" xfId="0" applyFont="1" applyFill="1" applyBorder="1" applyAlignment="1">
      <alignment horizontal="right" vertical="center" wrapText="1"/>
    </xf>
    <xf numFmtId="0" fontId="6" fillId="0" borderId="10" xfId="0" applyFont="1" applyFill="1" applyBorder="1" applyAlignment="1">
      <alignment horizontal="center" vertical="center" wrapText="1"/>
    </xf>
    <xf numFmtId="0" fontId="13" fillId="0" borderId="10" xfId="0" applyFont="1" applyFill="1" applyBorder="1" applyAlignment="1">
      <alignment horizontal="right" vertical="center" wrapText="1"/>
    </xf>
    <xf numFmtId="0" fontId="1" fillId="0" borderId="10" xfId="0" applyFont="1" applyFill="1" applyBorder="1" applyAlignment="1">
      <alignment horizontal="justify" vertical="center" wrapText="1"/>
    </xf>
    <xf numFmtId="0" fontId="0" fillId="0" borderId="10" xfId="0" applyBorder="1" applyAlignment="1">
      <alignment horizontal="center" vertical="center"/>
    </xf>
    <xf numFmtId="0" fontId="0" fillId="0" borderId="10" xfId="0" applyBorder="1" applyAlignment="1">
      <alignment vertical="center" wrapText="1"/>
    </xf>
    <xf numFmtId="4" fontId="0" fillId="0" borderId="10" xfId="0" applyNumberFormat="1" applyFont="1" applyFill="1" applyBorder="1" applyAlignment="1">
      <alignment horizontal="center" vertical="center" wrapText="1"/>
    </xf>
    <xf numFmtId="4" fontId="8" fillId="0" borderId="10" xfId="0" applyNumberFormat="1" applyFont="1" applyFill="1" applyBorder="1" applyAlignment="1" applyProtection="1">
      <alignment horizontal="center" vertical="center" wrapText="1"/>
      <protection locked="0"/>
    </xf>
    <xf numFmtId="4" fontId="3" fillId="33" borderId="10" xfId="0" applyNumberFormat="1" applyFont="1" applyFill="1" applyBorder="1" applyAlignment="1" applyProtection="1">
      <alignment horizontal="center" vertical="center" wrapText="1"/>
      <protection locked="0"/>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12" fillId="0" borderId="15" xfId="0" applyFont="1" applyFill="1" applyBorder="1" applyAlignment="1">
      <alignment horizontal="right" vertical="center" wrapText="1"/>
    </xf>
    <xf numFmtId="0" fontId="12" fillId="0" borderId="16" xfId="0" applyFont="1" applyFill="1" applyBorder="1" applyAlignment="1">
      <alignment horizontal="right" vertical="center" wrapText="1"/>
    </xf>
    <xf numFmtId="0" fontId="12" fillId="0" borderId="11" xfId="0" applyFont="1" applyFill="1" applyBorder="1" applyAlignment="1">
      <alignment horizontal="right" vertical="center" wrapText="1"/>
    </xf>
    <xf numFmtId="0" fontId="1" fillId="0" borderId="0" xfId="0" applyFont="1" applyBorder="1" applyAlignment="1">
      <alignment horizontal="center"/>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7" fillId="33" borderId="15" xfId="0" applyFont="1" applyFill="1" applyBorder="1" applyAlignment="1" applyProtection="1">
      <alignment vertical="center" wrapText="1"/>
      <protection locked="0"/>
    </xf>
    <xf numFmtId="0" fontId="7" fillId="33" borderId="16" xfId="0" applyFont="1" applyFill="1" applyBorder="1" applyAlignment="1" applyProtection="1">
      <alignment vertical="center" wrapText="1"/>
      <protection locked="0"/>
    </xf>
    <xf numFmtId="0" fontId="7" fillId="33" borderId="11" xfId="0" applyFont="1" applyFill="1" applyBorder="1" applyAlignment="1" applyProtection="1">
      <alignment vertical="center" wrapText="1"/>
      <protection locked="0"/>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12" fillId="0" borderId="15" xfId="0" applyFont="1" applyFill="1" applyBorder="1" applyAlignment="1">
      <alignment horizontal="right" vertical="center"/>
    </xf>
    <xf numFmtId="0" fontId="12" fillId="0" borderId="16" xfId="0" applyFont="1" applyFill="1" applyBorder="1" applyAlignment="1">
      <alignment horizontal="right" vertical="center"/>
    </xf>
    <xf numFmtId="0" fontId="12" fillId="0" borderId="11" xfId="0" applyFont="1" applyFill="1" applyBorder="1" applyAlignment="1">
      <alignment horizontal="right" vertical="center"/>
    </xf>
    <xf numFmtId="0" fontId="0" fillId="0" borderId="17" xfId="0" applyBorder="1" applyAlignment="1">
      <alignment horizontal="center" vertical="center"/>
    </xf>
    <xf numFmtId="0" fontId="13" fillId="0" borderId="15" xfId="0" applyFont="1" applyFill="1" applyBorder="1" applyAlignment="1">
      <alignment horizontal="right" vertical="center" wrapText="1"/>
    </xf>
    <xf numFmtId="0" fontId="13" fillId="0" borderId="16" xfId="0" applyFont="1" applyFill="1" applyBorder="1" applyAlignment="1">
      <alignment horizontal="right" vertical="center" wrapText="1"/>
    </xf>
    <xf numFmtId="0" fontId="13" fillId="0" borderId="11" xfId="0" applyFont="1" applyFill="1" applyBorder="1" applyAlignment="1">
      <alignment horizontal="right" vertical="center" wrapText="1"/>
    </xf>
    <xf numFmtId="0" fontId="13" fillId="0" borderId="18" xfId="0" applyFont="1" applyFill="1" applyBorder="1" applyAlignment="1">
      <alignment horizontal="right" vertical="center" wrapText="1"/>
    </xf>
    <xf numFmtId="0" fontId="13" fillId="0" borderId="19" xfId="0" applyFont="1" applyFill="1" applyBorder="1" applyAlignment="1">
      <alignment horizontal="right" vertical="center" wrapText="1"/>
    </xf>
    <xf numFmtId="0" fontId="13" fillId="0" borderId="20" xfId="0" applyFont="1" applyFill="1" applyBorder="1" applyAlignment="1">
      <alignment horizontal="right" vertical="center" wrapText="1"/>
    </xf>
    <xf numFmtId="0" fontId="13" fillId="0" borderId="13" xfId="0" applyFont="1" applyFill="1" applyBorder="1" applyAlignment="1">
      <alignment horizontal="center" vertical="center" wrapText="1"/>
    </xf>
    <xf numFmtId="0" fontId="12" fillId="0" borderId="13" xfId="0" applyFont="1" applyFill="1" applyBorder="1" applyAlignment="1">
      <alignment horizontal="center" vertical="center"/>
    </xf>
    <xf numFmtId="0" fontId="1" fillId="0" borderId="0" xfId="0" applyFont="1" applyAlignment="1">
      <alignment horizontal="left"/>
    </xf>
    <xf numFmtId="0" fontId="8" fillId="0" borderId="19" xfId="0" applyFont="1" applyFill="1" applyBorder="1" applyAlignment="1">
      <alignment horizontal="left" vertical="center" wrapText="1"/>
    </xf>
    <xf numFmtId="0" fontId="0" fillId="0" borderId="16" xfId="0" applyFont="1" applyFill="1" applyBorder="1" applyAlignment="1">
      <alignment horizontal="right" vertical="center"/>
    </xf>
    <xf numFmtId="0" fontId="0" fillId="0" borderId="11" xfId="0" applyFont="1" applyFill="1" applyBorder="1" applyAlignment="1">
      <alignment horizontal="right"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34" borderId="10" xfId="0" applyFont="1" applyFill="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266700</xdr:rowOff>
    </xdr:from>
    <xdr:to>
      <xdr:col>6</xdr:col>
      <xdr:colOff>342900</xdr:colOff>
      <xdr:row>0</xdr:row>
      <xdr:rowOff>1543050</xdr:rowOff>
    </xdr:to>
    <xdr:pic>
      <xdr:nvPicPr>
        <xdr:cNvPr id="1" name="Imagem 2" descr="Logo MPMG.png"/>
        <xdr:cNvPicPr preferRelativeResize="1">
          <a:picLocks noChangeAspect="1"/>
        </xdr:cNvPicPr>
      </xdr:nvPicPr>
      <xdr:blipFill>
        <a:blip r:embed="rId1"/>
        <a:stretch>
          <a:fillRect/>
        </a:stretch>
      </xdr:blipFill>
      <xdr:spPr>
        <a:xfrm>
          <a:off x="323850" y="266700"/>
          <a:ext cx="36861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0"/>
  <sheetViews>
    <sheetView tabSelected="1" showOutlineSymbols="0" zoomScale="60" zoomScaleNormal="60" zoomScalePageLayoutView="0" workbookViewId="0" topLeftCell="H1">
      <selection activeCell="S56" sqref="S56"/>
    </sheetView>
  </sheetViews>
  <sheetFormatPr defaultColWidth="11.28125" defaultRowHeight="12.75"/>
  <cols>
    <col min="1" max="1" width="11.28125" style="4" customWidth="1"/>
    <col min="2" max="3" width="8.57421875" style="1" customWidth="1"/>
    <col min="4" max="4" width="8.8515625" style="1" customWidth="1"/>
    <col min="5" max="5" width="8.421875" style="1" customWidth="1"/>
    <col min="6" max="6" width="9.28125" style="2" customWidth="1"/>
    <col min="7" max="7" width="75.57421875" style="2" customWidth="1"/>
    <col min="8" max="8" width="19.140625" style="3" customWidth="1"/>
    <col min="9" max="9" width="18.140625" style="3" customWidth="1"/>
    <col min="10" max="10" width="20.140625" style="3" customWidth="1"/>
    <col min="11" max="12" width="18.421875" style="3" customWidth="1"/>
    <col min="13" max="13" width="13.8515625" style="3" customWidth="1"/>
    <col min="14" max="14" width="13.7109375" style="3" customWidth="1"/>
    <col min="15" max="15" width="16.7109375" style="2" customWidth="1"/>
    <col min="16" max="16" width="15.140625" style="3" customWidth="1"/>
    <col min="17" max="17" width="17.28125" style="3" customWidth="1"/>
    <col min="18" max="19" width="13.8515625" style="4" customWidth="1"/>
    <col min="20" max="20" width="19.57421875" style="19" customWidth="1"/>
    <col min="21" max="24" width="11.28125" style="4" customWidth="1"/>
    <col min="25" max="25" width="18.7109375" style="4" customWidth="1"/>
    <col min="26" max="16384" width="11.28125" style="4" customWidth="1"/>
  </cols>
  <sheetData>
    <row r="1" spans="1:21" ht="144" customHeight="1">
      <c r="A1" s="69" t="s">
        <v>102</v>
      </c>
      <c r="B1" s="69"/>
      <c r="C1" s="69"/>
      <c r="D1" s="69"/>
      <c r="E1" s="69"/>
      <c r="F1" s="69"/>
      <c r="G1" s="69"/>
      <c r="H1" s="69"/>
      <c r="I1" s="69"/>
      <c r="J1" s="69"/>
      <c r="K1" s="69"/>
      <c r="L1" s="69"/>
      <c r="M1" s="69"/>
      <c r="N1" s="69"/>
      <c r="O1" s="69"/>
      <c r="P1" s="69"/>
      <c r="Q1" s="69"/>
      <c r="R1" s="69"/>
      <c r="S1" s="69"/>
      <c r="T1" s="69"/>
      <c r="U1" s="69"/>
    </row>
    <row r="2" spans="2:20" s="13" customFormat="1" ht="105" customHeight="1">
      <c r="B2" s="70" t="s">
        <v>129</v>
      </c>
      <c r="C2" s="70"/>
      <c r="D2" s="70"/>
      <c r="E2" s="70"/>
      <c r="F2" s="70"/>
      <c r="G2" s="70"/>
      <c r="H2" s="70"/>
      <c r="I2" s="70"/>
      <c r="J2" s="70"/>
      <c r="K2" s="70"/>
      <c r="L2" s="70"/>
      <c r="M2" s="70"/>
      <c r="N2" s="70"/>
      <c r="O2" s="70"/>
      <c r="P2" s="70"/>
      <c r="Q2" s="70"/>
      <c r="R2" s="70"/>
      <c r="S2" s="70"/>
      <c r="T2" s="70"/>
    </row>
    <row r="3" spans="1:20" s="5" customFormat="1" ht="47.25" customHeight="1">
      <c r="A3" s="46"/>
      <c r="B3" s="40" t="s">
        <v>101</v>
      </c>
      <c r="C3" s="41"/>
      <c r="D3" s="41"/>
      <c r="E3" s="41"/>
      <c r="F3" s="41"/>
      <c r="G3" s="42"/>
      <c r="H3" s="73" t="s">
        <v>9</v>
      </c>
      <c r="I3" s="74"/>
      <c r="J3" s="74"/>
      <c r="K3" s="74"/>
      <c r="L3" s="75"/>
      <c r="M3" s="29" t="s">
        <v>25</v>
      </c>
      <c r="N3" s="29" t="s">
        <v>23</v>
      </c>
      <c r="O3" s="54" t="s">
        <v>7</v>
      </c>
      <c r="P3" s="55"/>
      <c r="Q3" s="55"/>
      <c r="R3" s="55"/>
      <c r="S3" s="55"/>
      <c r="T3" s="56"/>
    </row>
    <row r="4" spans="1:20" s="6" customFormat="1" ht="55.5" customHeight="1">
      <c r="A4" s="46"/>
      <c r="B4" s="18" t="s">
        <v>11</v>
      </c>
      <c r="C4" s="18" t="s">
        <v>13</v>
      </c>
      <c r="D4" s="9" t="s">
        <v>0</v>
      </c>
      <c r="E4" s="9" t="s">
        <v>3</v>
      </c>
      <c r="F4" s="9" t="s">
        <v>1</v>
      </c>
      <c r="G4" s="10" t="s">
        <v>2</v>
      </c>
      <c r="H4" s="20" t="s">
        <v>86</v>
      </c>
      <c r="I4" s="16"/>
      <c r="J4" s="16"/>
      <c r="K4" s="16"/>
      <c r="L4" s="16"/>
      <c r="M4" s="16" t="s">
        <v>103</v>
      </c>
      <c r="N4" s="16" t="s">
        <v>24</v>
      </c>
      <c r="O4" s="12" t="s">
        <v>8</v>
      </c>
      <c r="P4" s="10" t="s">
        <v>5</v>
      </c>
      <c r="Q4" s="10" t="s">
        <v>6</v>
      </c>
      <c r="R4" s="10" t="s">
        <v>4</v>
      </c>
      <c r="S4" s="76" t="s">
        <v>28</v>
      </c>
      <c r="T4" s="10" t="s">
        <v>21</v>
      </c>
    </row>
    <row r="5" spans="1:20" s="7" customFormat="1" ht="93" customHeight="1">
      <c r="A5" s="46"/>
      <c r="B5" s="23">
        <v>1</v>
      </c>
      <c r="C5" s="8">
        <v>1</v>
      </c>
      <c r="D5" s="18">
        <v>1367560</v>
      </c>
      <c r="E5" s="10" t="s">
        <v>10</v>
      </c>
      <c r="F5" s="18">
        <v>50</v>
      </c>
      <c r="G5" s="21" t="s">
        <v>22</v>
      </c>
      <c r="H5" s="17">
        <f>F5*170</f>
        <v>8500</v>
      </c>
      <c r="I5" s="11"/>
      <c r="J5" s="11"/>
      <c r="K5" s="11"/>
      <c r="L5" s="11"/>
      <c r="M5" s="11">
        <f>F5*86</f>
        <v>4300</v>
      </c>
      <c r="N5" s="11">
        <f>F5*54.4</f>
        <v>2720</v>
      </c>
      <c r="O5" s="11">
        <f>MIN(H5:N5)</f>
        <v>2720</v>
      </c>
      <c r="P5" s="11">
        <f>AVERAGE(H5:N5)</f>
        <v>5173.333333333333</v>
      </c>
      <c r="Q5" s="14">
        <f>MEDIAN(H5:N5)</f>
        <v>4300</v>
      </c>
      <c r="R5" s="15">
        <f>STDEV(H5:N5)/AVERAGE(H5:N5)</f>
        <v>0.577447576479179</v>
      </c>
      <c r="S5" s="11">
        <f>T5/F5</f>
        <v>86</v>
      </c>
      <c r="T5" s="24">
        <f>Q5</f>
        <v>4300</v>
      </c>
    </row>
    <row r="6" spans="1:25" s="7" customFormat="1" ht="28.5" customHeight="1">
      <c r="A6" s="46"/>
      <c r="B6" s="57" t="s">
        <v>14</v>
      </c>
      <c r="C6" s="58"/>
      <c r="D6" s="58"/>
      <c r="E6" s="58"/>
      <c r="F6" s="58"/>
      <c r="G6" s="58"/>
      <c r="H6" s="58"/>
      <c r="I6" s="58"/>
      <c r="J6" s="58"/>
      <c r="K6" s="58"/>
      <c r="L6" s="58"/>
      <c r="M6" s="58"/>
      <c r="N6" s="58"/>
      <c r="O6" s="58"/>
      <c r="P6" s="58"/>
      <c r="Q6" s="58"/>
      <c r="R6" s="59"/>
      <c r="S6" s="27"/>
      <c r="T6" s="25">
        <f>T5</f>
        <v>4300</v>
      </c>
      <c r="Y6" s="7">
        <v>6400</v>
      </c>
    </row>
    <row r="7" spans="1:25" s="7" customFormat="1" ht="51" customHeight="1">
      <c r="A7" s="46"/>
      <c r="B7" s="40" t="s">
        <v>66</v>
      </c>
      <c r="C7" s="41"/>
      <c r="D7" s="41"/>
      <c r="E7" s="41"/>
      <c r="F7" s="41"/>
      <c r="G7" s="42"/>
      <c r="H7" s="20" t="s">
        <v>80</v>
      </c>
      <c r="I7" s="20" t="s">
        <v>122</v>
      </c>
      <c r="J7" s="16" t="s">
        <v>121</v>
      </c>
      <c r="K7" s="16" t="s">
        <v>126</v>
      </c>
      <c r="L7" s="16"/>
      <c r="M7" s="16" t="s">
        <v>26</v>
      </c>
      <c r="N7" s="16" t="s">
        <v>24</v>
      </c>
      <c r="O7" s="12" t="s">
        <v>8</v>
      </c>
      <c r="P7" s="10" t="s">
        <v>5</v>
      </c>
      <c r="Q7" s="10" t="s">
        <v>6</v>
      </c>
      <c r="R7" s="10" t="s">
        <v>4</v>
      </c>
      <c r="S7" s="10" t="s">
        <v>28</v>
      </c>
      <c r="T7" s="10" t="s">
        <v>21</v>
      </c>
      <c r="Y7" s="7">
        <v>1249600</v>
      </c>
    </row>
    <row r="8" spans="1:25" s="7" customFormat="1" ht="166.5" customHeight="1">
      <c r="A8" s="46"/>
      <c r="B8" s="37">
        <v>2</v>
      </c>
      <c r="C8" s="8">
        <v>1</v>
      </c>
      <c r="D8" s="18">
        <v>1367102</v>
      </c>
      <c r="E8" s="10" t="s">
        <v>10</v>
      </c>
      <c r="F8" s="18">
        <v>550</v>
      </c>
      <c r="G8" s="21" t="s">
        <v>27</v>
      </c>
      <c r="H8" s="17">
        <f>F8*1211</f>
        <v>666050</v>
      </c>
      <c r="I8" s="11">
        <f>F8*1094</f>
        <v>601700</v>
      </c>
      <c r="J8" s="11">
        <f>F8*1044</f>
        <v>574200</v>
      </c>
      <c r="K8" s="11">
        <f>F8*1796.76</f>
        <v>988218</v>
      </c>
      <c r="L8" s="11"/>
      <c r="M8" s="11" t="s">
        <v>116</v>
      </c>
      <c r="N8" s="11">
        <f>F8*457.1</f>
        <v>251405</v>
      </c>
      <c r="O8" s="11">
        <f>MIN(H8:N8)</f>
        <v>251405</v>
      </c>
      <c r="P8" s="11">
        <f>AVERAGE(H8:N8)</f>
        <v>616314.6</v>
      </c>
      <c r="Q8" s="14">
        <f>MEDIAN(H8:N8)</f>
        <v>601700</v>
      </c>
      <c r="R8" s="15">
        <f>STDEV(H8:N8)/AVERAGE(H8:N8)</f>
        <v>0.42615596903722663</v>
      </c>
      <c r="S8" s="11">
        <f>T8/F8</f>
        <v>1094</v>
      </c>
      <c r="T8" s="24">
        <f>Q8</f>
        <v>601700</v>
      </c>
      <c r="Y8" s="7">
        <v>352804</v>
      </c>
    </row>
    <row r="9" spans="1:25" s="7" customFormat="1" ht="142.5" customHeight="1">
      <c r="A9" s="46"/>
      <c r="B9" s="38"/>
      <c r="C9" s="8">
        <v>2</v>
      </c>
      <c r="D9" s="18">
        <v>1367153</v>
      </c>
      <c r="E9" s="10" t="s">
        <v>10</v>
      </c>
      <c r="F9" s="18">
        <v>150</v>
      </c>
      <c r="G9" s="21" t="s">
        <v>81</v>
      </c>
      <c r="H9" s="17">
        <f>F9*1285</f>
        <v>192750</v>
      </c>
      <c r="I9" s="11">
        <f>F9*1190</f>
        <v>178500</v>
      </c>
      <c r="J9" s="11">
        <f>F9*1150</f>
        <v>172500</v>
      </c>
      <c r="K9" s="11">
        <f>F9*2309.9475</f>
        <v>346492.12500000006</v>
      </c>
      <c r="L9" s="11"/>
      <c r="M9" s="11" t="s">
        <v>116</v>
      </c>
      <c r="N9" s="11">
        <f>F9*463.98</f>
        <v>69597</v>
      </c>
      <c r="O9" s="11">
        <f>MIN(H9:N9)</f>
        <v>69597</v>
      </c>
      <c r="P9" s="11">
        <f>AVERAGE(H9:N9)</f>
        <v>191967.825</v>
      </c>
      <c r="Q9" s="14">
        <f>MEDIAN(H9:N9)</f>
        <v>178500</v>
      </c>
      <c r="R9" s="15">
        <f>STDEV(H9:N9)/AVERAGE(H9:N9)</f>
        <v>0.5170866631425849</v>
      </c>
      <c r="S9" s="11">
        <f>T9/F9</f>
        <v>1190</v>
      </c>
      <c r="T9" s="24">
        <f>Q9</f>
        <v>178500</v>
      </c>
      <c r="Y9" s="7">
        <v>4411474</v>
      </c>
    </row>
    <row r="10" spans="1:25" s="7" customFormat="1" ht="102.75" customHeight="1">
      <c r="A10" s="46"/>
      <c r="B10" s="38"/>
      <c r="C10" s="8">
        <v>3</v>
      </c>
      <c r="D10" s="18">
        <v>1390295</v>
      </c>
      <c r="E10" s="10" t="s">
        <v>10</v>
      </c>
      <c r="F10" s="18">
        <v>50</v>
      </c>
      <c r="G10" s="21" t="s">
        <v>82</v>
      </c>
      <c r="H10" s="17">
        <f>F10*1485</f>
        <v>74250</v>
      </c>
      <c r="I10" s="11">
        <f>F10*1295</f>
        <v>64750</v>
      </c>
      <c r="J10" s="11">
        <f>F10*1255</f>
        <v>62750</v>
      </c>
      <c r="K10" s="11">
        <f>F10*2855.7376</f>
        <v>142786.88</v>
      </c>
      <c r="L10" s="11"/>
      <c r="M10" s="11">
        <f>F10*850.9</f>
        <v>42545</v>
      </c>
      <c r="N10" s="11">
        <f>F10*499.97</f>
        <v>24998.5</v>
      </c>
      <c r="O10" s="11">
        <f>MIN(H10:N10)</f>
        <v>24998.5</v>
      </c>
      <c r="P10" s="11">
        <f>AVERAGE(H10:N10)</f>
        <v>68680.06333333334</v>
      </c>
      <c r="Q10" s="14">
        <f>MEDIAN(H10:N10)</f>
        <v>63750</v>
      </c>
      <c r="R10" s="15">
        <f>STDEV(H10:N10)/AVERAGE(H10:N10)</f>
        <v>0.5883708250711276</v>
      </c>
      <c r="S10" s="11">
        <f>T10/F10</f>
        <v>1275</v>
      </c>
      <c r="T10" s="24">
        <f>Q10</f>
        <v>63750</v>
      </c>
      <c r="Y10" s="7">
        <v>132629.13</v>
      </c>
    </row>
    <row r="11" spans="1:25" s="7" customFormat="1" ht="123.75" customHeight="1">
      <c r="A11" s="46"/>
      <c r="B11" s="39"/>
      <c r="C11" s="8">
        <v>4</v>
      </c>
      <c r="D11" s="18">
        <v>1367161</v>
      </c>
      <c r="E11" s="10" t="s">
        <v>10</v>
      </c>
      <c r="F11" s="18">
        <v>1050</v>
      </c>
      <c r="G11" s="21" t="s">
        <v>83</v>
      </c>
      <c r="H11" s="17">
        <f>F11*612</f>
        <v>642600</v>
      </c>
      <c r="I11" s="11">
        <f>F11*593</f>
        <v>622650</v>
      </c>
      <c r="J11" s="11">
        <f>F11*589</f>
        <v>618450</v>
      </c>
      <c r="K11" s="11" t="s">
        <v>115</v>
      </c>
      <c r="L11" s="11"/>
      <c r="M11" s="11" t="s">
        <v>117</v>
      </c>
      <c r="N11" s="11">
        <f>F11*213.2</f>
        <v>223860</v>
      </c>
      <c r="O11" s="11">
        <f>MIN(H11:N11)</f>
        <v>223860</v>
      </c>
      <c r="P11" s="11">
        <f>AVERAGE(H11:N11)</f>
        <v>526890</v>
      </c>
      <c r="Q11" s="14">
        <f>MEDIAN(H11:N11)</f>
        <v>620550</v>
      </c>
      <c r="R11" s="15">
        <f>STDEV(H11:N11)/AVERAGE(H11:N11)</f>
        <v>0.38394067387003666</v>
      </c>
      <c r="S11" s="11">
        <f>T11/F11</f>
        <v>591</v>
      </c>
      <c r="T11" s="24">
        <f>Q11</f>
        <v>620550</v>
      </c>
      <c r="Y11" s="7">
        <v>261537.63</v>
      </c>
    </row>
    <row r="12" spans="1:25" s="7" customFormat="1" ht="37.5" customHeight="1">
      <c r="A12" s="46"/>
      <c r="B12" s="43" t="s">
        <v>20</v>
      </c>
      <c r="C12" s="44"/>
      <c r="D12" s="44"/>
      <c r="E12" s="44"/>
      <c r="F12" s="44"/>
      <c r="G12" s="44"/>
      <c r="H12" s="44"/>
      <c r="I12" s="44"/>
      <c r="J12" s="44"/>
      <c r="K12" s="44"/>
      <c r="L12" s="44"/>
      <c r="M12" s="44"/>
      <c r="N12" s="44"/>
      <c r="O12" s="44"/>
      <c r="P12" s="44"/>
      <c r="Q12" s="44"/>
      <c r="R12" s="45"/>
      <c r="S12" s="28"/>
      <c r="T12" s="25">
        <f>SUM(T8:T11)</f>
        <v>1464500</v>
      </c>
      <c r="Y12" s="7">
        <v>249414.17</v>
      </c>
    </row>
    <row r="13" spans="1:25" s="7" customFormat="1" ht="37.5" customHeight="1">
      <c r="A13" s="46"/>
      <c r="B13" s="40" t="s">
        <v>65</v>
      </c>
      <c r="C13" s="41"/>
      <c r="D13" s="41"/>
      <c r="E13" s="41"/>
      <c r="F13" s="41"/>
      <c r="G13" s="42"/>
      <c r="H13" s="20" t="s">
        <v>88</v>
      </c>
      <c r="I13" s="20" t="s">
        <v>89</v>
      </c>
      <c r="J13" s="16" t="s">
        <v>90</v>
      </c>
      <c r="K13" s="16"/>
      <c r="L13" s="16"/>
      <c r="M13" s="16" t="s">
        <v>104</v>
      </c>
      <c r="N13" s="16" t="s">
        <v>24</v>
      </c>
      <c r="O13" s="12" t="s">
        <v>8</v>
      </c>
      <c r="P13" s="10" t="s">
        <v>5</v>
      </c>
      <c r="Q13" s="10" t="s">
        <v>6</v>
      </c>
      <c r="R13" s="10" t="s">
        <v>4</v>
      </c>
      <c r="S13" s="10" t="s">
        <v>28</v>
      </c>
      <c r="T13" s="10" t="s">
        <v>21</v>
      </c>
      <c r="Y13" s="7">
        <v>113449.6</v>
      </c>
    </row>
    <row r="14" spans="1:25" s="7" customFormat="1" ht="170.25" customHeight="1">
      <c r="A14" s="46"/>
      <c r="B14" s="37">
        <v>3</v>
      </c>
      <c r="C14" s="8">
        <v>1</v>
      </c>
      <c r="D14" s="18">
        <v>1368311</v>
      </c>
      <c r="E14" s="10" t="s">
        <v>10</v>
      </c>
      <c r="F14" s="18">
        <v>50</v>
      </c>
      <c r="G14" s="21" t="s">
        <v>29</v>
      </c>
      <c r="H14" s="17">
        <f>F14*734</f>
        <v>36700</v>
      </c>
      <c r="I14" s="11">
        <f>F14*839.88</f>
        <v>41994</v>
      </c>
      <c r="J14" s="11" t="s">
        <v>118</v>
      </c>
      <c r="K14" s="11"/>
      <c r="L14" s="11"/>
      <c r="M14" s="11">
        <f>F14*674.3</f>
        <v>33715</v>
      </c>
      <c r="N14" s="11">
        <f>F14*508.17</f>
        <v>25408.5</v>
      </c>
      <c r="O14" s="11">
        <f>MIN(H14:N14)</f>
        <v>25408.5</v>
      </c>
      <c r="P14" s="11">
        <f>AVERAGE(H14:N14)</f>
        <v>34454.375</v>
      </c>
      <c r="Q14" s="14">
        <f>MEDIAN(H14:N14)</f>
        <v>35207.5</v>
      </c>
      <c r="R14" s="15">
        <f>STDEV(H14:N14)/AVERAGE(H14:N14)</f>
        <v>0.20126716888160623</v>
      </c>
      <c r="S14" s="11">
        <f>T14/F14</f>
        <v>689.0875</v>
      </c>
      <c r="T14" s="24">
        <f>P14</f>
        <v>34454.375</v>
      </c>
      <c r="Y14" s="7">
        <v>6299</v>
      </c>
    </row>
    <row r="15" spans="1:25" s="7" customFormat="1" ht="183" customHeight="1">
      <c r="A15" s="46"/>
      <c r="B15" s="38"/>
      <c r="C15" s="8">
        <v>2</v>
      </c>
      <c r="D15" s="18">
        <v>1368320</v>
      </c>
      <c r="E15" s="10" t="s">
        <v>10</v>
      </c>
      <c r="F15" s="18">
        <v>50</v>
      </c>
      <c r="G15" s="21" t="s">
        <v>30</v>
      </c>
      <c r="H15" s="17">
        <f>F15*2357</f>
        <v>117850</v>
      </c>
      <c r="I15" s="11">
        <f>F15*1889</f>
        <v>94450</v>
      </c>
      <c r="J15" s="11">
        <f>F15*1530</f>
        <v>76500</v>
      </c>
      <c r="K15" s="11"/>
      <c r="L15" s="11"/>
      <c r="M15" s="11">
        <f>F15*1868.9</f>
        <v>93445</v>
      </c>
      <c r="N15" s="11">
        <f>F15*1870.55</f>
        <v>93527.5</v>
      </c>
      <c r="O15" s="11">
        <f>MIN(H15:N15)</f>
        <v>76500</v>
      </c>
      <c r="P15" s="11">
        <f>AVERAGE(H15:N15)</f>
        <v>95154.5</v>
      </c>
      <c r="Q15" s="14">
        <f>MEDIAN(H15:N15)</f>
        <v>93527.5</v>
      </c>
      <c r="R15" s="15">
        <f>STDEV(H15:N15)/AVERAGE(H15:N15)</f>
        <v>0.15491234345419458</v>
      </c>
      <c r="S15" s="11">
        <f>T15/F15</f>
        <v>1903.09</v>
      </c>
      <c r="T15" s="24">
        <f>P15</f>
        <v>95154.5</v>
      </c>
      <c r="Y15" s="7">
        <v>11904</v>
      </c>
    </row>
    <row r="16" spans="1:25" s="7" customFormat="1" ht="180" customHeight="1">
      <c r="A16" s="46"/>
      <c r="B16" s="38"/>
      <c r="C16" s="8">
        <v>3</v>
      </c>
      <c r="D16" s="18" t="s">
        <v>32</v>
      </c>
      <c r="E16" s="10" t="s">
        <v>10</v>
      </c>
      <c r="F16" s="18">
        <v>50</v>
      </c>
      <c r="G16" s="21" t="s">
        <v>31</v>
      </c>
      <c r="H16" s="17">
        <f>F16*645</f>
        <v>32250</v>
      </c>
      <c r="I16" s="11" t="s">
        <v>72</v>
      </c>
      <c r="J16" s="11">
        <f>F16*639</f>
        <v>31950</v>
      </c>
      <c r="K16" s="11"/>
      <c r="L16" s="11"/>
      <c r="M16" s="11">
        <f>F16*825</f>
        <v>41250</v>
      </c>
      <c r="N16" s="11">
        <f>F16*447</f>
        <v>22350</v>
      </c>
      <c r="O16" s="11">
        <f>MIN(H16:N16)</f>
        <v>22350</v>
      </c>
      <c r="P16" s="11">
        <f>AVERAGE(H16:N16)</f>
        <v>31950</v>
      </c>
      <c r="Q16" s="14">
        <f>MEDIAN(H16:N16)</f>
        <v>32100</v>
      </c>
      <c r="R16" s="15">
        <f>STDEV(H16:N16)/AVERAGE(H16:N16)</f>
        <v>0.24159024094401138</v>
      </c>
      <c r="S16" s="11">
        <f>T16/F16</f>
        <v>639</v>
      </c>
      <c r="T16" s="24">
        <f>P16</f>
        <v>31950</v>
      </c>
      <c r="Y16" s="7">
        <v>12313.03</v>
      </c>
    </row>
    <row r="17" spans="1:25" s="7" customFormat="1" ht="132.75" customHeight="1">
      <c r="A17" s="46"/>
      <c r="B17" s="39"/>
      <c r="C17" s="18">
        <v>4</v>
      </c>
      <c r="D17" s="18">
        <v>1640674</v>
      </c>
      <c r="E17" s="10" t="s">
        <v>10</v>
      </c>
      <c r="F17" s="18">
        <v>200</v>
      </c>
      <c r="G17" s="21" t="s">
        <v>33</v>
      </c>
      <c r="H17" s="17">
        <f>F17*1049</f>
        <v>209800</v>
      </c>
      <c r="I17" s="11">
        <f>F17*899</f>
        <v>179800</v>
      </c>
      <c r="J17" s="11">
        <f>F17*1089</f>
        <v>217800</v>
      </c>
      <c r="K17" s="11"/>
      <c r="L17" s="11"/>
      <c r="M17" s="11">
        <f>F17*988.9</f>
        <v>197780</v>
      </c>
      <c r="N17" s="11">
        <f>F17*700</f>
        <v>140000</v>
      </c>
      <c r="O17" s="11">
        <f>MIN(H17:N17)</f>
        <v>140000</v>
      </c>
      <c r="P17" s="11">
        <f>AVERAGE(H17:N17)</f>
        <v>189036</v>
      </c>
      <c r="Q17" s="14">
        <f>MEDIAN(H17:N17)</f>
        <v>197780</v>
      </c>
      <c r="R17" s="15">
        <f>STDEV(H17:N17)/AVERAGE(H17:N17)</f>
        <v>0.16357990801129238</v>
      </c>
      <c r="S17" s="11">
        <f>T17/F17</f>
        <v>945.18</v>
      </c>
      <c r="T17" s="34">
        <f>P17</f>
        <v>189036</v>
      </c>
      <c r="Y17" s="7">
        <v>347972.88</v>
      </c>
    </row>
    <row r="18" spans="1:25" s="7" customFormat="1" ht="43.5" customHeight="1">
      <c r="A18" s="46"/>
      <c r="B18" s="57" t="s">
        <v>15</v>
      </c>
      <c r="C18" s="58"/>
      <c r="D18" s="58"/>
      <c r="E18" s="58"/>
      <c r="F18" s="58"/>
      <c r="G18" s="58"/>
      <c r="H18" s="58"/>
      <c r="I18" s="58"/>
      <c r="J18" s="58"/>
      <c r="K18" s="58"/>
      <c r="L18" s="58"/>
      <c r="M18" s="58"/>
      <c r="N18" s="58"/>
      <c r="O18" s="58"/>
      <c r="P18" s="58"/>
      <c r="Q18" s="58"/>
      <c r="R18" s="59"/>
      <c r="S18" s="27"/>
      <c r="T18" s="25">
        <f>SUM(T14:T17)</f>
        <v>350594.875</v>
      </c>
      <c r="Y18" s="24">
        <f>SUM(Y6:Y17)</f>
        <v>7155797.4399999995</v>
      </c>
    </row>
    <row r="19" spans="1:20" s="7" customFormat="1" ht="60.75" customHeight="1">
      <c r="A19" s="46"/>
      <c r="B19" s="40" t="s">
        <v>67</v>
      </c>
      <c r="C19" s="41"/>
      <c r="D19" s="41"/>
      <c r="E19" s="41"/>
      <c r="F19" s="41"/>
      <c r="G19" s="42"/>
      <c r="H19" s="20"/>
      <c r="I19" s="16" t="s">
        <v>105</v>
      </c>
      <c r="J19" s="16" t="s">
        <v>100</v>
      </c>
      <c r="K19" s="16" t="s">
        <v>125</v>
      </c>
      <c r="L19" s="16" t="s">
        <v>124</v>
      </c>
      <c r="M19" s="16" t="s">
        <v>26</v>
      </c>
      <c r="N19" s="16" t="s">
        <v>24</v>
      </c>
      <c r="O19" s="12" t="s">
        <v>8</v>
      </c>
      <c r="P19" s="10" t="s">
        <v>5</v>
      </c>
      <c r="Q19" s="10" t="s">
        <v>6</v>
      </c>
      <c r="R19" s="10" t="s">
        <v>4</v>
      </c>
      <c r="S19" s="10" t="s">
        <v>28</v>
      </c>
      <c r="T19" s="10" t="s">
        <v>21</v>
      </c>
    </row>
    <row r="20" spans="1:20" s="7" customFormat="1" ht="93" customHeight="1">
      <c r="A20" s="46"/>
      <c r="B20" s="52">
        <v>4</v>
      </c>
      <c r="C20" s="8">
        <v>1</v>
      </c>
      <c r="D20" s="18">
        <v>1766074</v>
      </c>
      <c r="E20" s="10" t="s">
        <v>10</v>
      </c>
      <c r="F20" s="18">
        <v>2050</v>
      </c>
      <c r="G20" s="21" t="s">
        <v>34</v>
      </c>
      <c r="H20" s="17"/>
      <c r="I20" s="11">
        <f>F20*945</f>
        <v>1937250</v>
      </c>
      <c r="J20" s="11">
        <f>F20*890</f>
        <v>1824500</v>
      </c>
      <c r="K20" s="11" t="s">
        <v>127</v>
      </c>
      <c r="L20" s="11">
        <f>F20*1109.84</f>
        <v>2275172</v>
      </c>
      <c r="M20" s="11">
        <f>F20*599.9</f>
        <v>1229795</v>
      </c>
      <c r="N20" s="11">
        <f>F20*513.47</f>
        <v>1052613.5</v>
      </c>
      <c r="O20" s="11">
        <f>MIN(H20:N20)</f>
        <v>1052613.5</v>
      </c>
      <c r="P20" s="11">
        <f>AVERAGE(H20:N20)</f>
        <v>1663866.1</v>
      </c>
      <c r="Q20" s="14">
        <f>MEDIAN(H20:N20)</f>
        <v>1824500</v>
      </c>
      <c r="R20" s="15">
        <f>STDEV(H20:N20)/AVERAGE(H20:N20)</f>
        <v>0.30590819044648576</v>
      </c>
      <c r="S20" s="11">
        <f>T20/F20</f>
        <v>890</v>
      </c>
      <c r="T20" s="24">
        <f>Q20</f>
        <v>1824500</v>
      </c>
    </row>
    <row r="21" spans="1:20" s="7" customFormat="1" ht="72.75" customHeight="1">
      <c r="A21" s="46"/>
      <c r="B21" s="68"/>
      <c r="C21" s="8">
        <v>2</v>
      </c>
      <c r="D21" s="18" t="s">
        <v>36</v>
      </c>
      <c r="E21" s="10" t="s">
        <v>10</v>
      </c>
      <c r="F21" s="18">
        <v>1100</v>
      </c>
      <c r="G21" s="21" t="s">
        <v>35</v>
      </c>
      <c r="H21" s="17"/>
      <c r="I21" s="11">
        <f>F21*331</f>
        <v>364100</v>
      </c>
      <c r="J21" s="11">
        <f>F21*298</f>
        <v>327800</v>
      </c>
      <c r="K21" s="11" t="s">
        <v>127</v>
      </c>
      <c r="L21" s="11" t="s">
        <v>127</v>
      </c>
      <c r="M21" s="11">
        <f>F21*243.9</f>
        <v>268290</v>
      </c>
      <c r="N21" s="11">
        <f>F21*60.16</f>
        <v>66176</v>
      </c>
      <c r="O21" s="11">
        <f>MIN(H21:N21)</f>
        <v>66176</v>
      </c>
      <c r="P21" s="11">
        <f>AVERAGE(H21:N21)</f>
        <v>256591.5</v>
      </c>
      <c r="Q21" s="14">
        <f>MEDIAN(H21:N21)</f>
        <v>298045</v>
      </c>
      <c r="R21" s="15">
        <f>STDEV(H21:N21)/AVERAGE(H21:N21)</f>
        <v>0.5181218398146207</v>
      </c>
      <c r="S21" s="11">
        <f>T21/F21</f>
        <v>270.95</v>
      </c>
      <c r="T21" s="24">
        <f>Q21</f>
        <v>298045</v>
      </c>
    </row>
    <row r="22" spans="1:20" s="7" customFormat="1" ht="82.5" customHeight="1">
      <c r="A22" s="46"/>
      <c r="B22" s="68"/>
      <c r="C22" s="8">
        <v>3</v>
      </c>
      <c r="D22" s="18">
        <v>1651080</v>
      </c>
      <c r="E22" s="10" t="s">
        <v>10</v>
      </c>
      <c r="F22" s="18">
        <v>4400</v>
      </c>
      <c r="G22" s="21" t="s">
        <v>37</v>
      </c>
      <c r="H22" s="17"/>
      <c r="I22" s="11">
        <f>F22*539</f>
        <v>2371600</v>
      </c>
      <c r="J22" s="11">
        <f>F22*490</f>
        <v>2156000</v>
      </c>
      <c r="K22" s="11">
        <f>F22*895.9</f>
        <v>3941960</v>
      </c>
      <c r="L22" s="11">
        <f>F22*1057.48</f>
        <v>4652912</v>
      </c>
      <c r="M22" s="11">
        <f>F22*585</f>
        <v>2574000</v>
      </c>
      <c r="N22" s="11">
        <f>F22*449.45</f>
        <v>1977580</v>
      </c>
      <c r="O22" s="11">
        <f>MIN(H22:N22)</f>
        <v>1977580</v>
      </c>
      <c r="P22" s="11">
        <f>AVERAGE(H22:N22)</f>
        <v>2945675.3333333335</v>
      </c>
      <c r="Q22" s="14">
        <f>MEDIAN(H22:N22)</f>
        <v>2472800</v>
      </c>
      <c r="R22" s="15">
        <f>STDEV(H22:N22)/AVERAGE(H22:N22)</f>
        <v>0.3698857397707025</v>
      </c>
      <c r="S22" s="11">
        <f>T22/F22</f>
        <v>562</v>
      </c>
      <c r="T22" s="24">
        <f>Q22</f>
        <v>2472800</v>
      </c>
    </row>
    <row r="23" spans="1:20" s="7" customFormat="1" ht="82.5" customHeight="1">
      <c r="A23" s="46"/>
      <c r="B23" s="68"/>
      <c r="C23" s="8">
        <v>4</v>
      </c>
      <c r="D23" s="18">
        <v>1366939</v>
      </c>
      <c r="E23" s="10" t="s">
        <v>10</v>
      </c>
      <c r="F23" s="18">
        <v>60</v>
      </c>
      <c r="G23" s="21" t="s">
        <v>38</v>
      </c>
      <c r="H23" s="17"/>
      <c r="I23" s="11">
        <f>F23*945</f>
        <v>56700</v>
      </c>
      <c r="J23" s="11">
        <f>F23*890</f>
        <v>53400</v>
      </c>
      <c r="K23" s="11">
        <f>F23*1439.77</f>
        <v>86386.2</v>
      </c>
      <c r="L23" s="11">
        <f>F23*1581.32</f>
        <v>94879.2</v>
      </c>
      <c r="M23" s="11">
        <f>F23*459</f>
        <v>27540</v>
      </c>
      <c r="N23" s="11">
        <f>F23*514.5</f>
        <v>30870</v>
      </c>
      <c r="O23" s="11">
        <f>MIN(H23:N23)</f>
        <v>27540</v>
      </c>
      <c r="P23" s="11">
        <f>AVERAGE(H23:N23)</f>
        <v>58295.9</v>
      </c>
      <c r="Q23" s="14">
        <f>MEDIAN(H23:N23)</f>
        <v>55050</v>
      </c>
      <c r="R23" s="15">
        <f>STDEV(H23:N23)/AVERAGE(H23:N23)</f>
        <v>0.4761255960171319</v>
      </c>
      <c r="S23" s="11">
        <f>T23/F23</f>
        <v>917.5</v>
      </c>
      <c r="T23" s="24">
        <f>Q23</f>
        <v>55050</v>
      </c>
    </row>
    <row r="24" spans="1:20" s="7" customFormat="1" ht="82.5" customHeight="1">
      <c r="A24" s="46"/>
      <c r="B24" s="53"/>
      <c r="C24" s="8">
        <v>5</v>
      </c>
      <c r="D24" s="18">
        <v>1366947</v>
      </c>
      <c r="E24" s="10" t="s">
        <v>10</v>
      </c>
      <c r="F24" s="18">
        <v>120</v>
      </c>
      <c r="G24" s="21" t="s">
        <v>39</v>
      </c>
      <c r="H24" s="17"/>
      <c r="I24" s="11">
        <f>F24*1225</f>
        <v>147000</v>
      </c>
      <c r="J24" s="11">
        <f>F24*890</f>
        <v>106800</v>
      </c>
      <c r="K24" s="11" t="s">
        <v>127</v>
      </c>
      <c r="L24" s="11">
        <f>F24*2247.46</f>
        <v>269695.2</v>
      </c>
      <c r="M24" s="11">
        <f>F24*547</f>
        <v>65640</v>
      </c>
      <c r="N24" s="11">
        <f>F24*910.7</f>
        <v>109284</v>
      </c>
      <c r="O24" s="11">
        <f>MIN(H24:N24)</f>
        <v>65640</v>
      </c>
      <c r="P24" s="11">
        <f>AVERAGE(H24:N24)</f>
        <v>139683.84</v>
      </c>
      <c r="Q24" s="14">
        <f>MEDIAN(H24:N24)</f>
        <v>109284</v>
      </c>
      <c r="R24" s="15">
        <f>STDEV(H24:N24)/AVERAGE(H24:N24)</f>
        <v>0.5596469331057264</v>
      </c>
      <c r="S24" s="11">
        <f>T24/F24</f>
        <v>910.7</v>
      </c>
      <c r="T24" s="24">
        <f>Q24</f>
        <v>109284</v>
      </c>
    </row>
    <row r="25" spans="1:20" s="7" customFormat="1" ht="45" customHeight="1">
      <c r="A25" s="46"/>
      <c r="B25" s="57" t="s">
        <v>16</v>
      </c>
      <c r="C25" s="58"/>
      <c r="D25" s="58"/>
      <c r="E25" s="58"/>
      <c r="F25" s="58"/>
      <c r="G25" s="58"/>
      <c r="H25" s="58"/>
      <c r="I25" s="58"/>
      <c r="J25" s="58"/>
      <c r="K25" s="58"/>
      <c r="L25" s="58"/>
      <c r="M25" s="58"/>
      <c r="N25" s="58"/>
      <c r="O25" s="58"/>
      <c r="P25" s="58"/>
      <c r="Q25" s="58"/>
      <c r="R25" s="59"/>
      <c r="S25" s="27"/>
      <c r="T25" s="25">
        <f>SUM(T20:T24)</f>
        <v>4759679</v>
      </c>
    </row>
    <row r="26" spans="1:20" s="7" customFormat="1" ht="75" customHeight="1">
      <c r="A26" s="46"/>
      <c r="B26" s="40" t="s">
        <v>64</v>
      </c>
      <c r="C26" s="41"/>
      <c r="D26" s="41"/>
      <c r="E26" s="41"/>
      <c r="F26" s="41"/>
      <c r="G26" s="42"/>
      <c r="H26" s="20" t="s">
        <v>98</v>
      </c>
      <c r="I26" s="20" t="s">
        <v>99</v>
      </c>
      <c r="J26" s="16" t="s">
        <v>97</v>
      </c>
      <c r="K26" s="16" t="s">
        <v>106</v>
      </c>
      <c r="L26" s="16" t="s">
        <v>119</v>
      </c>
      <c r="M26" s="16" t="s">
        <v>26</v>
      </c>
      <c r="N26" s="16" t="s">
        <v>24</v>
      </c>
      <c r="O26" s="12" t="s">
        <v>8</v>
      </c>
      <c r="P26" s="10" t="s">
        <v>5</v>
      </c>
      <c r="Q26" s="10" t="s">
        <v>6</v>
      </c>
      <c r="R26" s="10" t="s">
        <v>4</v>
      </c>
      <c r="S26" s="10" t="s">
        <v>28</v>
      </c>
      <c r="T26" s="10" t="s">
        <v>21</v>
      </c>
    </row>
    <row r="27" spans="1:20" s="7" customFormat="1" ht="83.25" customHeight="1">
      <c r="A27" s="46"/>
      <c r="B27" s="37">
        <v>5</v>
      </c>
      <c r="C27" s="8">
        <v>1</v>
      </c>
      <c r="D27" s="18">
        <v>1691775</v>
      </c>
      <c r="E27" s="10" t="s">
        <v>10</v>
      </c>
      <c r="F27" s="18">
        <v>200</v>
      </c>
      <c r="G27" s="21" t="s">
        <v>77</v>
      </c>
      <c r="H27" s="17">
        <f>F27*94</f>
        <v>18800</v>
      </c>
      <c r="I27" s="11" t="s">
        <v>72</v>
      </c>
      <c r="J27" s="11" t="s">
        <v>72</v>
      </c>
      <c r="K27" s="11">
        <f>F27*195</f>
        <v>39000</v>
      </c>
      <c r="L27" s="11" t="s">
        <v>72</v>
      </c>
      <c r="M27" s="11">
        <f>F27*115.9</f>
        <v>23180</v>
      </c>
      <c r="N27" s="36">
        <f>F27*334</f>
        <v>66800</v>
      </c>
      <c r="O27" s="11">
        <f>MIN(H27:M27)</f>
        <v>18800</v>
      </c>
      <c r="P27" s="11">
        <f>AVERAGE(H27:M27)</f>
        <v>26993.333333333332</v>
      </c>
      <c r="Q27" s="14">
        <f>MEDIAN(H27:M27)</f>
        <v>23180</v>
      </c>
      <c r="R27" s="15">
        <f>STDEV(H27:M27)/AVERAGE(H27:M27)</f>
        <v>0.39366017501934486</v>
      </c>
      <c r="S27" s="11">
        <f>T27/F27</f>
        <v>115.9</v>
      </c>
      <c r="T27" s="24">
        <f>Q27</f>
        <v>23180</v>
      </c>
    </row>
    <row r="28" spans="1:20" s="7" customFormat="1" ht="83.25" customHeight="1">
      <c r="A28" s="46"/>
      <c r="B28" s="38"/>
      <c r="C28" s="8">
        <v>2</v>
      </c>
      <c r="D28" s="18" t="s">
        <v>40</v>
      </c>
      <c r="E28" s="10" t="s">
        <v>10</v>
      </c>
      <c r="F28" s="18">
        <v>50</v>
      </c>
      <c r="G28" s="21" t="s">
        <v>73</v>
      </c>
      <c r="H28" s="17" t="s">
        <v>72</v>
      </c>
      <c r="I28" s="11" t="s">
        <v>72</v>
      </c>
      <c r="J28" s="11">
        <f>F28*448</f>
        <v>22400</v>
      </c>
      <c r="K28" s="11">
        <f>F28*475</f>
        <v>23750</v>
      </c>
      <c r="L28" s="11">
        <f>F28*519.44</f>
        <v>25972.000000000004</v>
      </c>
      <c r="M28" s="11">
        <f>F28*345</f>
        <v>17250</v>
      </c>
      <c r="N28" s="11">
        <f>F28*539.13</f>
        <v>26956.5</v>
      </c>
      <c r="O28" s="11">
        <f>MIN(H28:N28)</f>
        <v>17250</v>
      </c>
      <c r="P28" s="11">
        <f>AVERAGE(H28:N28)</f>
        <v>23265.7</v>
      </c>
      <c r="Q28" s="14">
        <f>MEDIAN(H28:N28)</f>
        <v>23750</v>
      </c>
      <c r="R28" s="15">
        <f>STDEV(H28:N28)/AVERAGE(H28:N28)</f>
        <v>0.16383693060775448</v>
      </c>
      <c r="S28" s="11">
        <f>T28/F28</f>
        <v>465.314</v>
      </c>
      <c r="T28" s="24">
        <f>P28</f>
        <v>23265.7</v>
      </c>
    </row>
    <row r="29" spans="1:20" s="7" customFormat="1" ht="83.25" customHeight="1">
      <c r="A29" s="46"/>
      <c r="B29" s="38"/>
      <c r="C29" s="8">
        <v>3</v>
      </c>
      <c r="D29" s="18">
        <v>1606344</v>
      </c>
      <c r="E29" s="10" t="s">
        <v>10</v>
      </c>
      <c r="F29" s="18">
        <v>50</v>
      </c>
      <c r="G29" s="21" t="s">
        <v>74</v>
      </c>
      <c r="H29" s="17">
        <f>F29*974</f>
        <v>48700</v>
      </c>
      <c r="I29" s="11" t="s">
        <v>72</v>
      </c>
      <c r="J29" s="11">
        <f>F29*998</f>
        <v>49900</v>
      </c>
      <c r="K29" s="11">
        <f>F29*1450</f>
        <v>72500</v>
      </c>
      <c r="L29" s="11">
        <f>F29*1442.36</f>
        <v>72118</v>
      </c>
      <c r="M29" s="11">
        <f>F29*1016</f>
        <v>50800</v>
      </c>
      <c r="N29" s="11">
        <f>F29*566.75</f>
        <v>28337.5</v>
      </c>
      <c r="O29" s="11">
        <f>MIN(H29:N29)</f>
        <v>28337.5</v>
      </c>
      <c r="P29" s="11">
        <f>AVERAGE(H29:N29)</f>
        <v>53725.916666666664</v>
      </c>
      <c r="Q29" s="14">
        <f>MEDIAN(H29:N29)</f>
        <v>50350</v>
      </c>
      <c r="R29" s="15">
        <f>STDEV(H29:N29)/AVERAGE(H29:N29)</f>
        <v>0.3096437727048932</v>
      </c>
      <c r="S29" s="11">
        <f>T29/F29</f>
        <v>1007</v>
      </c>
      <c r="T29" s="24">
        <f>Q29</f>
        <v>50350</v>
      </c>
    </row>
    <row r="30" spans="1:20" s="7" customFormat="1" ht="83.25" customHeight="1">
      <c r="A30" s="46"/>
      <c r="B30" s="38"/>
      <c r="C30" s="8">
        <v>4</v>
      </c>
      <c r="D30" s="18">
        <v>106720</v>
      </c>
      <c r="E30" s="10" t="s">
        <v>10</v>
      </c>
      <c r="F30" s="18">
        <v>10</v>
      </c>
      <c r="G30" s="31" t="s">
        <v>75</v>
      </c>
      <c r="H30" s="17">
        <f>F30*433</f>
        <v>4330</v>
      </c>
      <c r="I30" s="11" t="s">
        <v>72</v>
      </c>
      <c r="J30" s="11" t="s">
        <v>72</v>
      </c>
      <c r="K30" s="11">
        <f>F30*695</f>
        <v>6950</v>
      </c>
      <c r="L30" s="11">
        <f>F30*530.49</f>
        <v>5304.9</v>
      </c>
      <c r="M30" s="11">
        <f>F30*490</f>
        <v>4900</v>
      </c>
      <c r="N30" s="11">
        <f>F30*475</f>
        <v>4750</v>
      </c>
      <c r="O30" s="11">
        <f>MIN(H30:N30)</f>
        <v>4330</v>
      </c>
      <c r="P30" s="11">
        <f>AVERAGE(H30:N30)</f>
        <v>5246.9800000000005</v>
      </c>
      <c r="Q30" s="14">
        <f>MEDIAN(H30:N30)</f>
        <v>4900</v>
      </c>
      <c r="R30" s="15">
        <f>STDEV(H30:N30)/AVERAGE(H30:N30)</f>
        <v>0.193232511822279</v>
      </c>
      <c r="S30" s="11">
        <f>T30/F30</f>
        <v>524.6980000000001</v>
      </c>
      <c r="T30" s="24">
        <f>P30</f>
        <v>5246.9800000000005</v>
      </c>
    </row>
    <row r="31" spans="1:20" s="7" customFormat="1" ht="83.25" customHeight="1">
      <c r="A31" s="46"/>
      <c r="B31" s="39"/>
      <c r="C31" s="8">
        <v>5</v>
      </c>
      <c r="D31" s="18">
        <v>1678850</v>
      </c>
      <c r="E31" s="10" t="s">
        <v>10</v>
      </c>
      <c r="F31" s="18">
        <v>10</v>
      </c>
      <c r="G31" s="21" t="s">
        <v>76</v>
      </c>
      <c r="H31" s="17" t="s">
        <v>72</v>
      </c>
      <c r="I31" s="11">
        <f>F31*4275</f>
        <v>42750</v>
      </c>
      <c r="J31" s="11" t="s">
        <v>123</v>
      </c>
      <c r="K31" s="11">
        <f>F31*5350</f>
        <v>53500</v>
      </c>
      <c r="L31" s="11" t="s">
        <v>120</v>
      </c>
      <c r="M31" s="11" t="s">
        <v>78</v>
      </c>
      <c r="N31" s="11" t="s">
        <v>78</v>
      </c>
      <c r="O31" s="11">
        <f>MIN(H31:N31)</f>
        <v>42750</v>
      </c>
      <c r="P31" s="11">
        <f>AVERAGE(H31:N31)</f>
        <v>48125</v>
      </c>
      <c r="Q31" s="14">
        <f>MEDIAN(H31:N31)</f>
        <v>48125</v>
      </c>
      <c r="R31" s="15">
        <f>STDEV(H31:N31)/AVERAGE(H31:N31)</f>
        <v>0.15795112514816387</v>
      </c>
      <c r="S31" s="11">
        <f>T31/F31</f>
        <v>4812.5</v>
      </c>
      <c r="T31" s="24">
        <f>P31</f>
        <v>48125</v>
      </c>
    </row>
    <row r="32" spans="1:20" s="7" customFormat="1" ht="30.75" customHeight="1">
      <c r="A32" s="46"/>
      <c r="B32" s="57" t="s">
        <v>17</v>
      </c>
      <c r="C32" s="71"/>
      <c r="D32" s="71"/>
      <c r="E32" s="71"/>
      <c r="F32" s="71"/>
      <c r="G32" s="71"/>
      <c r="H32" s="71"/>
      <c r="I32" s="71"/>
      <c r="J32" s="71"/>
      <c r="K32" s="71"/>
      <c r="L32" s="71"/>
      <c r="M32" s="71"/>
      <c r="N32" s="71"/>
      <c r="O32" s="71"/>
      <c r="P32" s="71"/>
      <c r="Q32" s="71"/>
      <c r="R32" s="72"/>
      <c r="S32" s="26"/>
      <c r="T32" s="25">
        <f>SUM(T27:T31)</f>
        <v>150167.68</v>
      </c>
    </row>
    <row r="33" spans="1:20" s="7" customFormat="1" ht="52.5" customHeight="1">
      <c r="A33" s="46"/>
      <c r="B33" s="40" t="s">
        <v>68</v>
      </c>
      <c r="C33" s="41"/>
      <c r="D33" s="41"/>
      <c r="E33" s="41"/>
      <c r="F33" s="41"/>
      <c r="G33" s="42"/>
      <c r="H33" s="16"/>
      <c r="I33" s="20" t="s">
        <v>86</v>
      </c>
      <c r="J33" s="16" t="s">
        <v>87</v>
      </c>
      <c r="K33" s="16"/>
      <c r="L33" s="16"/>
      <c r="M33" s="16" t="s">
        <v>26</v>
      </c>
      <c r="N33" s="16" t="s">
        <v>24</v>
      </c>
      <c r="O33" s="12" t="s">
        <v>8</v>
      </c>
      <c r="P33" s="10" t="s">
        <v>5</v>
      </c>
      <c r="Q33" s="10" t="s">
        <v>6</v>
      </c>
      <c r="R33" s="10" t="s">
        <v>4</v>
      </c>
      <c r="S33" s="10" t="s">
        <v>28</v>
      </c>
      <c r="T33" s="10" t="s">
        <v>21</v>
      </c>
    </row>
    <row r="34" spans="1:20" s="7" customFormat="1" ht="57" customHeight="1">
      <c r="A34" s="46"/>
      <c r="B34" s="37">
        <v>6</v>
      </c>
      <c r="C34" s="8">
        <v>1</v>
      </c>
      <c r="D34" s="18">
        <v>875759</v>
      </c>
      <c r="E34" s="10" t="s">
        <v>10</v>
      </c>
      <c r="F34" s="18">
        <v>50</v>
      </c>
      <c r="G34" s="21" t="s">
        <v>41</v>
      </c>
      <c r="H34" s="17"/>
      <c r="I34" s="11">
        <f>F34*1050</f>
        <v>52500</v>
      </c>
      <c r="J34" s="11">
        <f>F34*990</f>
        <v>49500</v>
      </c>
      <c r="K34" s="11"/>
      <c r="L34" s="11"/>
      <c r="M34" s="11">
        <f>F34*559.9</f>
        <v>27995</v>
      </c>
      <c r="N34" s="11">
        <f>F34*612.1</f>
        <v>30605</v>
      </c>
      <c r="O34" s="11">
        <f>MIN(H34:N34)</f>
        <v>27995</v>
      </c>
      <c r="P34" s="11">
        <f>AVERAGE(H34:N34)</f>
        <v>40150</v>
      </c>
      <c r="Q34" s="14">
        <f>MEDIAN(H34:N34)</f>
        <v>40052.5</v>
      </c>
      <c r="R34" s="15">
        <f>STDEV(H34:N34)/AVERAGE(H34:N34)</f>
        <v>0.31465098995706586</v>
      </c>
      <c r="S34" s="11">
        <f>T34/F34</f>
        <v>801.05</v>
      </c>
      <c r="T34" s="24">
        <f>Q34</f>
        <v>40052.5</v>
      </c>
    </row>
    <row r="35" spans="1:20" s="7" customFormat="1" ht="50.25" customHeight="1">
      <c r="A35" s="46"/>
      <c r="B35" s="38"/>
      <c r="C35" s="8">
        <v>2</v>
      </c>
      <c r="D35" s="18">
        <v>698520</v>
      </c>
      <c r="E35" s="10" t="s">
        <v>10</v>
      </c>
      <c r="F35" s="18">
        <v>50</v>
      </c>
      <c r="G35" s="21" t="s">
        <v>42</v>
      </c>
      <c r="H35" s="17"/>
      <c r="I35" s="11">
        <f>F35*220</f>
        <v>11000</v>
      </c>
      <c r="J35" s="11">
        <f>F35*290</f>
        <v>14500</v>
      </c>
      <c r="K35" s="11"/>
      <c r="L35" s="11"/>
      <c r="M35" s="11">
        <f>F35*179.89</f>
        <v>8994.5</v>
      </c>
      <c r="N35" s="11">
        <f>F35*101.94</f>
        <v>5097</v>
      </c>
      <c r="O35" s="11">
        <f>MIN(H35:N35)</f>
        <v>5097</v>
      </c>
      <c r="P35" s="11">
        <f>AVERAGE(H35:N35)</f>
        <v>9897.875</v>
      </c>
      <c r="Q35" s="14">
        <f>MEDIAN(H35:N35)</f>
        <v>9997.25</v>
      </c>
      <c r="R35" s="15">
        <f>STDEV(H35:N35)/AVERAGE(H35:N35)</f>
        <v>0.3967292480597285</v>
      </c>
      <c r="S35" s="11">
        <f>T35/F35</f>
        <v>199.945</v>
      </c>
      <c r="T35" s="24">
        <f>Q35</f>
        <v>9997.25</v>
      </c>
    </row>
    <row r="36" spans="1:20" s="7" customFormat="1" ht="51" customHeight="1">
      <c r="A36" s="46"/>
      <c r="B36" s="38"/>
      <c r="C36" s="8">
        <v>3</v>
      </c>
      <c r="D36" s="18">
        <v>1376012</v>
      </c>
      <c r="E36" s="10" t="s">
        <v>10</v>
      </c>
      <c r="F36" s="18">
        <v>50</v>
      </c>
      <c r="G36" s="21" t="s">
        <v>43</v>
      </c>
      <c r="H36" s="17"/>
      <c r="I36" s="11">
        <f>F36*640</f>
        <v>32000</v>
      </c>
      <c r="J36" s="11">
        <f>F36*490</f>
        <v>24500</v>
      </c>
      <c r="K36" s="11"/>
      <c r="L36" s="11"/>
      <c r="M36" s="11">
        <f>F36*629.9</f>
        <v>31495</v>
      </c>
      <c r="N36" s="11">
        <f>F36*449.81</f>
        <v>22490.5</v>
      </c>
      <c r="O36" s="11">
        <f>MIN(H36:N36)</f>
        <v>22490.5</v>
      </c>
      <c r="P36" s="11">
        <f>AVERAGE(H36:N36)</f>
        <v>27621.375</v>
      </c>
      <c r="Q36" s="14">
        <f>MEDIAN(H36:N36)</f>
        <v>27997.5</v>
      </c>
      <c r="R36" s="15">
        <f>STDEV(H36:N36)/AVERAGE(H36:N36)</f>
        <v>0.17518844525978072</v>
      </c>
      <c r="S36" s="11">
        <f>T36/F36</f>
        <v>552.4275</v>
      </c>
      <c r="T36" s="24">
        <f>P36</f>
        <v>27621.375</v>
      </c>
    </row>
    <row r="37" spans="1:20" s="7" customFormat="1" ht="45.75" customHeight="1">
      <c r="A37" s="46"/>
      <c r="B37" s="38"/>
      <c r="C37" s="8">
        <v>4</v>
      </c>
      <c r="D37" s="18">
        <v>400</v>
      </c>
      <c r="E37" s="10" t="s">
        <v>10</v>
      </c>
      <c r="F37" s="18">
        <v>100</v>
      </c>
      <c r="G37" s="21" t="s">
        <v>44</v>
      </c>
      <c r="H37" s="17"/>
      <c r="I37" s="11">
        <f>F37*1980</f>
        <v>198000</v>
      </c>
      <c r="J37" s="11">
        <f>F37*1590</f>
        <v>159000</v>
      </c>
      <c r="K37" s="11"/>
      <c r="L37" s="11"/>
      <c r="M37" s="11">
        <f>F37*1198</f>
        <v>119800</v>
      </c>
      <c r="N37" s="11">
        <f>F37*1320</f>
        <v>132000</v>
      </c>
      <c r="O37" s="11">
        <f>MIN(H37:N37)</f>
        <v>119800</v>
      </c>
      <c r="P37" s="11">
        <f>AVERAGE(H37:N37)</f>
        <v>152200</v>
      </c>
      <c r="Q37" s="14">
        <f>MEDIAN(H37:N37)</f>
        <v>145500</v>
      </c>
      <c r="R37" s="15">
        <f>STDEV(H37:N37)/AVERAGE(H37:N37)</f>
        <v>0.22765504673035963</v>
      </c>
      <c r="S37" s="11">
        <f>T37/F37</f>
        <v>1522</v>
      </c>
      <c r="T37" s="24">
        <f>P37</f>
        <v>152200</v>
      </c>
    </row>
    <row r="38" spans="1:20" s="7" customFormat="1" ht="62.25" customHeight="1">
      <c r="A38" s="46"/>
      <c r="B38" s="39"/>
      <c r="C38" s="18">
        <v>5</v>
      </c>
      <c r="D38" s="18">
        <v>1442082</v>
      </c>
      <c r="E38" s="10" t="s">
        <v>10</v>
      </c>
      <c r="F38" s="18">
        <v>150</v>
      </c>
      <c r="G38" s="21" t="s">
        <v>45</v>
      </c>
      <c r="H38" s="17"/>
      <c r="I38" s="11">
        <f>F38*240</f>
        <v>36000</v>
      </c>
      <c r="J38" s="11">
        <f>F38*195</f>
        <v>29250</v>
      </c>
      <c r="K38" s="11"/>
      <c r="L38" s="11"/>
      <c r="M38" s="11">
        <f>F38*174.9</f>
        <v>26235</v>
      </c>
      <c r="N38" s="11">
        <f>F38*211.11</f>
        <v>31666.500000000004</v>
      </c>
      <c r="O38" s="11">
        <f>MIN(H38:N38)</f>
        <v>26235</v>
      </c>
      <c r="P38" s="11">
        <f>AVERAGE(H38:N38)</f>
        <v>30787.875</v>
      </c>
      <c r="Q38" s="14">
        <f>MEDIAN(H38:N38)</f>
        <v>30458.25</v>
      </c>
      <c r="R38" s="15">
        <f>STDEV(H38:N38)/AVERAGE(H38:N38)</f>
        <v>0.1339617397069028</v>
      </c>
      <c r="S38" s="11">
        <f>T38/F38</f>
        <v>205.2525</v>
      </c>
      <c r="T38" s="24">
        <f>P38</f>
        <v>30787.875</v>
      </c>
    </row>
    <row r="39" spans="1:20" s="7" customFormat="1" ht="29.25" customHeight="1">
      <c r="A39" s="46"/>
      <c r="B39" s="57" t="s">
        <v>18</v>
      </c>
      <c r="C39" s="58"/>
      <c r="D39" s="58"/>
      <c r="E39" s="58"/>
      <c r="F39" s="58"/>
      <c r="G39" s="58"/>
      <c r="H39" s="58"/>
      <c r="I39" s="58"/>
      <c r="J39" s="58"/>
      <c r="K39" s="58"/>
      <c r="L39" s="58"/>
      <c r="M39" s="58"/>
      <c r="N39" s="58"/>
      <c r="O39" s="58"/>
      <c r="P39" s="58"/>
      <c r="Q39" s="58"/>
      <c r="R39" s="59"/>
      <c r="S39" s="27"/>
      <c r="T39" s="25">
        <f>SUM(T34:T38)</f>
        <v>260659</v>
      </c>
    </row>
    <row r="40" spans="1:20" s="7" customFormat="1" ht="46.5" customHeight="1">
      <c r="A40" s="46"/>
      <c r="B40" s="40" t="s">
        <v>107</v>
      </c>
      <c r="C40" s="41"/>
      <c r="D40" s="41"/>
      <c r="E40" s="41"/>
      <c r="F40" s="41"/>
      <c r="G40" s="42"/>
      <c r="H40" s="16" t="s">
        <v>96</v>
      </c>
      <c r="I40" s="16" t="s">
        <v>113</v>
      </c>
      <c r="J40" s="16" t="s">
        <v>112</v>
      </c>
      <c r="K40" s="16" t="s">
        <v>114</v>
      </c>
      <c r="L40" s="16"/>
      <c r="M40" s="16" t="s">
        <v>26</v>
      </c>
      <c r="N40" s="16" t="s">
        <v>24</v>
      </c>
      <c r="O40" s="12" t="s">
        <v>8</v>
      </c>
      <c r="P40" s="10" t="s">
        <v>5</v>
      </c>
      <c r="Q40" s="10" t="s">
        <v>6</v>
      </c>
      <c r="R40" s="10" t="s">
        <v>4</v>
      </c>
      <c r="S40" s="10" t="s">
        <v>28</v>
      </c>
      <c r="T40" s="10" t="s">
        <v>21</v>
      </c>
    </row>
    <row r="41" spans="1:20" s="7" customFormat="1" ht="114.75" customHeight="1">
      <c r="A41" s="46"/>
      <c r="B41" s="37">
        <v>7</v>
      </c>
      <c r="C41" s="8">
        <v>1</v>
      </c>
      <c r="D41" s="18">
        <v>1609467</v>
      </c>
      <c r="E41" s="10" t="s">
        <v>10</v>
      </c>
      <c r="F41" s="18">
        <v>100</v>
      </c>
      <c r="G41" s="21" t="s">
        <v>46</v>
      </c>
      <c r="H41" s="11">
        <f>F41*920</f>
        <v>92000</v>
      </c>
      <c r="I41" s="11">
        <f>F41*1179.45</f>
        <v>117945</v>
      </c>
      <c r="J41" s="11">
        <f>F41*1290</f>
        <v>129000</v>
      </c>
      <c r="K41" s="11">
        <f>F41*1005.1</f>
        <v>100510</v>
      </c>
      <c r="L41" s="11"/>
      <c r="M41" s="11">
        <f>F41*1690.9</f>
        <v>169090</v>
      </c>
      <c r="N41" s="11">
        <f>F41*1158</f>
        <v>115800</v>
      </c>
      <c r="O41" s="11">
        <f>MIN(H41:N41)</f>
        <v>92000</v>
      </c>
      <c r="P41" s="11">
        <f>AVERAGE(H41:N41)</f>
        <v>120724.16666666667</v>
      </c>
      <c r="Q41" s="14">
        <f>MEDIAN(H41:N41)</f>
        <v>116872.5</v>
      </c>
      <c r="R41" s="15">
        <f>STDEV(H41:N41)/AVERAGE(H41:N41)</f>
        <v>0.2245200713103712</v>
      </c>
      <c r="S41" s="11">
        <f>T41/F41</f>
        <v>1207.2416666666668</v>
      </c>
      <c r="T41" s="24">
        <f>P41</f>
        <v>120724.16666666667</v>
      </c>
    </row>
    <row r="42" spans="1:20" s="7" customFormat="1" ht="133.5" customHeight="1">
      <c r="A42" s="46"/>
      <c r="B42" s="38"/>
      <c r="C42" s="8">
        <v>2</v>
      </c>
      <c r="D42" s="18">
        <v>838179</v>
      </c>
      <c r="E42" s="10" t="s">
        <v>10</v>
      </c>
      <c r="F42" s="18">
        <v>100</v>
      </c>
      <c r="G42" s="21" t="s">
        <v>47</v>
      </c>
      <c r="H42" s="11">
        <f>F42*980</f>
        <v>98000</v>
      </c>
      <c r="I42" s="11">
        <f>F42*1575.6</f>
        <v>157560</v>
      </c>
      <c r="J42" s="11"/>
      <c r="K42" s="11"/>
      <c r="L42" s="11"/>
      <c r="M42" s="11">
        <f>F42*1499</f>
        <v>149900</v>
      </c>
      <c r="N42" s="11">
        <f>F42*1093</f>
        <v>109300</v>
      </c>
      <c r="O42" s="11">
        <f>MIN(H42:N42)</f>
        <v>98000</v>
      </c>
      <c r="P42" s="11">
        <f>AVERAGE(H42:N42)</f>
        <v>128690</v>
      </c>
      <c r="Q42" s="14">
        <f>MEDIAN(H42:N42)</f>
        <v>129600</v>
      </c>
      <c r="R42" s="15">
        <f>STDEV(H42:N42)/AVERAGE(H42:N42)</f>
        <v>0.22881291970893494</v>
      </c>
      <c r="S42" s="11">
        <f>T42/F42</f>
        <v>1286.9</v>
      </c>
      <c r="T42" s="24">
        <f>P42</f>
        <v>128690</v>
      </c>
    </row>
    <row r="43" spans="1:20" s="7" customFormat="1" ht="46.5" customHeight="1">
      <c r="A43" s="46"/>
      <c r="B43" s="57" t="s">
        <v>19</v>
      </c>
      <c r="C43" s="71"/>
      <c r="D43" s="71"/>
      <c r="E43" s="71"/>
      <c r="F43" s="71"/>
      <c r="G43" s="71"/>
      <c r="H43" s="71"/>
      <c r="I43" s="71"/>
      <c r="J43" s="71"/>
      <c r="K43" s="71"/>
      <c r="L43" s="71"/>
      <c r="M43" s="71"/>
      <c r="N43" s="71"/>
      <c r="O43" s="71"/>
      <c r="P43" s="71"/>
      <c r="Q43" s="71"/>
      <c r="R43" s="72"/>
      <c r="S43" s="26"/>
      <c r="T43" s="25">
        <f>SUM(T41:T42)</f>
        <v>249414.1666666667</v>
      </c>
    </row>
    <row r="44" spans="1:20" s="7" customFormat="1" ht="69" customHeight="1">
      <c r="A44" s="46"/>
      <c r="B44" s="40" t="s">
        <v>79</v>
      </c>
      <c r="C44" s="41"/>
      <c r="D44" s="41"/>
      <c r="E44" s="41"/>
      <c r="F44" s="41"/>
      <c r="G44" s="42"/>
      <c r="H44" s="16" t="s">
        <v>86</v>
      </c>
      <c r="I44" s="20" t="s">
        <v>87</v>
      </c>
      <c r="J44" s="16"/>
      <c r="K44" s="16"/>
      <c r="L44" s="16"/>
      <c r="M44" s="16" t="s">
        <v>108</v>
      </c>
      <c r="N44" s="16" t="s">
        <v>24</v>
      </c>
      <c r="O44" s="12" t="s">
        <v>8</v>
      </c>
      <c r="P44" s="10" t="s">
        <v>5</v>
      </c>
      <c r="Q44" s="10" t="s">
        <v>6</v>
      </c>
      <c r="R44" s="10" t="s">
        <v>4</v>
      </c>
      <c r="S44" s="10" t="s">
        <v>28</v>
      </c>
      <c r="T44" s="10" t="s">
        <v>21</v>
      </c>
    </row>
    <row r="45" spans="1:20" s="7" customFormat="1" ht="46.5" customHeight="1">
      <c r="A45" s="46"/>
      <c r="B45" s="52">
        <v>8</v>
      </c>
      <c r="C45" s="8">
        <v>1</v>
      </c>
      <c r="D45" s="33" t="s">
        <v>55</v>
      </c>
      <c r="E45" s="10" t="s">
        <v>10</v>
      </c>
      <c r="F45" s="18">
        <v>20</v>
      </c>
      <c r="G45" s="21" t="s">
        <v>53</v>
      </c>
      <c r="H45" s="17">
        <f>F45*1600</f>
        <v>32000</v>
      </c>
      <c r="I45" s="11">
        <f>F45*5250</f>
        <v>105000</v>
      </c>
      <c r="J45" s="11"/>
      <c r="K45" s="11"/>
      <c r="L45" s="11"/>
      <c r="M45" s="11">
        <f>F45*844.99</f>
        <v>16899.8</v>
      </c>
      <c r="N45" s="11">
        <f>F45*754.65</f>
        <v>15093</v>
      </c>
      <c r="O45" s="11">
        <f>MIN(H45:N45)</f>
        <v>15093</v>
      </c>
      <c r="P45" s="11">
        <f>AVERAGE(H45:N45)</f>
        <v>42248.2</v>
      </c>
      <c r="Q45" s="14">
        <f>MEDIAN(H45:N45)</f>
        <v>24449.9</v>
      </c>
      <c r="R45" s="15">
        <f>STDEV(H45:N45)/AVERAGE(H45:N45)</f>
        <v>1.0063321908207206</v>
      </c>
      <c r="S45" s="11">
        <f>T45/F45</f>
        <v>1222.4950000000001</v>
      </c>
      <c r="T45" s="24">
        <f>Q45</f>
        <v>24449.9</v>
      </c>
    </row>
    <row r="46" spans="1:20" s="7" customFormat="1" ht="46.5" customHeight="1">
      <c r="A46" s="46"/>
      <c r="B46" s="53"/>
      <c r="C46" s="8">
        <v>2</v>
      </c>
      <c r="D46" s="32">
        <v>1742990</v>
      </c>
      <c r="E46" s="10" t="s">
        <v>10</v>
      </c>
      <c r="F46" s="18">
        <v>40</v>
      </c>
      <c r="G46" s="21" t="s">
        <v>54</v>
      </c>
      <c r="H46" s="17">
        <f>F46*3290</f>
        <v>131600</v>
      </c>
      <c r="I46" s="11">
        <f>F46*2500</f>
        <v>100000</v>
      </c>
      <c r="J46" s="11"/>
      <c r="K46" s="11"/>
      <c r="L46" s="11"/>
      <c r="M46" s="11">
        <f>F46*1647.99</f>
        <v>65919.6</v>
      </c>
      <c r="N46" s="11">
        <f>F46*1950</f>
        <v>78000</v>
      </c>
      <c r="O46" s="11">
        <f>MIN(H46:N46)</f>
        <v>65919.6</v>
      </c>
      <c r="P46" s="11">
        <f>AVERAGE(H46:N46)</f>
        <v>93879.9</v>
      </c>
      <c r="Q46" s="14">
        <f>MEDIAN(H46:N46)</f>
        <v>89000</v>
      </c>
      <c r="R46" s="15">
        <f>STDEV(H46:N46)/AVERAGE(H46:N46)</f>
        <v>0.3071378671394818</v>
      </c>
      <c r="S46" s="11">
        <f>T46/F46</f>
        <v>2225</v>
      </c>
      <c r="T46" s="24">
        <f>Q46</f>
        <v>89000</v>
      </c>
    </row>
    <row r="47" spans="1:20" s="7" customFormat="1" ht="46.5" customHeight="1">
      <c r="A47" s="46"/>
      <c r="B47" s="57" t="s">
        <v>48</v>
      </c>
      <c r="C47" s="58"/>
      <c r="D47" s="58"/>
      <c r="E47" s="58"/>
      <c r="F47" s="58"/>
      <c r="G47" s="58"/>
      <c r="H47" s="58"/>
      <c r="I47" s="58"/>
      <c r="J47" s="58"/>
      <c r="K47" s="58"/>
      <c r="L47" s="58"/>
      <c r="M47" s="58"/>
      <c r="N47" s="58"/>
      <c r="O47" s="58"/>
      <c r="P47" s="58"/>
      <c r="Q47" s="58"/>
      <c r="R47" s="59"/>
      <c r="S47" s="11"/>
      <c r="T47" s="25">
        <f>SUM(T45:T46)</f>
        <v>113449.9</v>
      </c>
    </row>
    <row r="48" spans="1:20" s="7" customFormat="1" ht="46.5" customHeight="1">
      <c r="A48" s="46"/>
      <c r="B48" s="40" t="s">
        <v>69</v>
      </c>
      <c r="C48" s="41"/>
      <c r="D48" s="41"/>
      <c r="E48" s="41"/>
      <c r="F48" s="41"/>
      <c r="G48" s="42"/>
      <c r="H48" s="20" t="s">
        <v>95</v>
      </c>
      <c r="I48" s="20" t="s">
        <v>84</v>
      </c>
      <c r="J48" s="16"/>
      <c r="K48" s="16"/>
      <c r="L48" s="16"/>
      <c r="M48" s="16" t="s">
        <v>109</v>
      </c>
      <c r="N48" s="16" t="s">
        <v>24</v>
      </c>
      <c r="O48" s="12" t="s">
        <v>8</v>
      </c>
      <c r="P48" s="10" t="s">
        <v>5</v>
      </c>
      <c r="Q48" s="10" t="s">
        <v>6</v>
      </c>
      <c r="R48" s="10" t="s">
        <v>4</v>
      </c>
      <c r="S48" s="10" t="s">
        <v>28</v>
      </c>
      <c r="T48" s="10" t="s">
        <v>21</v>
      </c>
    </row>
    <row r="49" spans="1:20" s="7" customFormat="1" ht="46.5" customHeight="1">
      <c r="A49" s="46"/>
      <c r="B49" s="23">
        <v>9</v>
      </c>
      <c r="C49" s="8">
        <v>1</v>
      </c>
      <c r="D49" s="18">
        <v>1367595</v>
      </c>
      <c r="E49" s="10" t="s">
        <v>10</v>
      </c>
      <c r="F49" s="18">
        <v>20</v>
      </c>
      <c r="G49" s="21" t="s">
        <v>56</v>
      </c>
      <c r="H49" s="17">
        <f>F49*499</f>
        <v>9980</v>
      </c>
      <c r="I49" s="11">
        <f>F49*380</f>
        <v>7600</v>
      </c>
      <c r="J49" s="11"/>
      <c r="K49" s="11"/>
      <c r="L49" s="11"/>
      <c r="M49" s="11">
        <f>F49*249.9</f>
        <v>4998</v>
      </c>
      <c r="N49" s="11">
        <f>F49*159.99</f>
        <v>3199.8</v>
      </c>
      <c r="O49" s="11">
        <f>MIN(H49:N49)</f>
        <v>3199.8</v>
      </c>
      <c r="P49" s="11">
        <f>AVERAGE(H49:N49)</f>
        <v>6444.45</v>
      </c>
      <c r="Q49" s="14">
        <f>MEDIAN(H49:N49)</f>
        <v>6299</v>
      </c>
      <c r="R49" s="15">
        <f>STDEV(H49:N49)/AVERAGE(H49:N49)</f>
        <v>0.4607979336889805</v>
      </c>
      <c r="S49" s="11">
        <f>T49/F49</f>
        <v>314.95</v>
      </c>
      <c r="T49" s="24">
        <f>Q49</f>
        <v>6299</v>
      </c>
    </row>
    <row r="50" spans="1:20" s="7" customFormat="1" ht="46.5" customHeight="1">
      <c r="A50" s="46"/>
      <c r="B50" s="61" t="s">
        <v>49</v>
      </c>
      <c r="C50" s="62"/>
      <c r="D50" s="62"/>
      <c r="E50" s="62"/>
      <c r="F50" s="62"/>
      <c r="G50" s="62"/>
      <c r="H50" s="62"/>
      <c r="I50" s="62"/>
      <c r="J50" s="62"/>
      <c r="K50" s="62"/>
      <c r="L50" s="62"/>
      <c r="M50" s="62"/>
      <c r="N50" s="62"/>
      <c r="O50" s="62"/>
      <c r="P50" s="62"/>
      <c r="Q50" s="62"/>
      <c r="R50" s="63"/>
      <c r="S50" s="11"/>
      <c r="T50" s="25">
        <f>T49</f>
        <v>6299</v>
      </c>
    </row>
    <row r="51" spans="1:20" s="7" customFormat="1" ht="46.5" customHeight="1">
      <c r="A51" s="46"/>
      <c r="B51" s="40" t="s">
        <v>70</v>
      </c>
      <c r="C51" s="41"/>
      <c r="D51" s="41"/>
      <c r="E51" s="41"/>
      <c r="F51" s="41"/>
      <c r="G51" s="42"/>
      <c r="H51" s="16" t="s">
        <v>92</v>
      </c>
      <c r="I51" s="20"/>
      <c r="J51" s="16"/>
      <c r="K51" s="16"/>
      <c r="L51" s="16"/>
      <c r="M51" s="16" t="s">
        <v>26</v>
      </c>
      <c r="N51" s="16" t="s">
        <v>24</v>
      </c>
      <c r="O51" s="12" t="s">
        <v>8</v>
      </c>
      <c r="P51" s="10" t="s">
        <v>5</v>
      </c>
      <c r="Q51" s="10" t="s">
        <v>6</v>
      </c>
      <c r="R51" s="10" t="s">
        <v>4</v>
      </c>
      <c r="S51" s="10" t="s">
        <v>28</v>
      </c>
      <c r="T51" s="10" t="s">
        <v>21</v>
      </c>
    </row>
    <row r="52" spans="1:20" s="7" customFormat="1" ht="46.5" customHeight="1">
      <c r="A52" s="46"/>
      <c r="B52" s="47">
        <v>10</v>
      </c>
      <c r="C52" s="8">
        <v>1</v>
      </c>
      <c r="D52" s="18" t="s">
        <v>59</v>
      </c>
      <c r="E52" s="10" t="s">
        <v>10</v>
      </c>
      <c r="F52" s="18">
        <v>50</v>
      </c>
      <c r="G52" s="21" t="s">
        <v>57</v>
      </c>
      <c r="H52" s="17">
        <f>F52*108.9</f>
        <v>5445</v>
      </c>
      <c r="I52" s="11"/>
      <c r="J52" s="11"/>
      <c r="K52" s="11"/>
      <c r="L52" s="11"/>
      <c r="M52" s="11">
        <f>F52*123.64</f>
        <v>6182</v>
      </c>
      <c r="N52" s="11">
        <f>F52*137</f>
        <v>6850</v>
      </c>
      <c r="O52" s="11">
        <f>MIN(H52:N52)</f>
        <v>5445</v>
      </c>
      <c r="P52" s="11">
        <f>AVERAGE(H52:N52)</f>
        <v>6159</v>
      </c>
      <c r="Q52" s="14">
        <f>MEDIAN(H52:N52)</f>
        <v>6182</v>
      </c>
      <c r="R52" s="15">
        <f>STDEV(H52:N52)/AVERAGE(H52:N52)</f>
        <v>0.11410656398917662</v>
      </c>
      <c r="S52" s="11">
        <f>T52/F52</f>
        <v>123.18</v>
      </c>
      <c r="T52" s="24">
        <f>P52</f>
        <v>6159</v>
      </c>
    </row>
    <row r="53" spans="1:20" s="7" customFormat="1" ht="46.5" customHeight="1">
      <c r="A53" s="46"/>
      <c r="B53" s="48"/>
      <c r="C53" s="8">
        <v>2</v>
      </c>
      <c r="D53" s="18">
        <v>1743015</v>
      </c>
      <c r="E53" s="10" t="s">
        <v>10</v>
      </c>
      <c r="F53" s="18">
        <v>50</v>
      </c>
      <c r="G53" s="21" t="s">
        <v>58</v>
      </c>
      <c r="H53" s="17">
        <f>F53*114.9</f>
        <v>5745</v>
      </c>
      <c r="I53" s="11"/>
      <c r="J53" s="11"/>
      <c r="K53" s="11"/>
      <c r="L53" s="11"/>
      <c r="M53" s="11">
        <f>F53*131.65</f>
        <v>6582.5</v>
      </c>
      <c r="N53" s="11">
        <f>F53*71.51</f>
        <v>3575.5000000000005</v>
      </c>
      <c r="O53" s="11">
        <f>MIN(H53:N53)</f>
        <v>3575.5000000000005</v>
      </c>
      <c r="P53" s="11">
        <f>AVERAGE(H53:N53)</f>
        <v>5301</v>
      </c>
      <c r="Q53" s="14">
        <f>MEDIAN(H53:N53)</f>
        <v>5745</v>
      </c>
      <c r="R53" s="15">
        <f>STDEV(H53:N53)/AVERAGE(H53:N53)</f>
        <v>0.2927542993017899</v>
      </c>
      <c r="S53" s="11">
        <f>T53/F53</f>
        <v>114.9</v>
      </c>
      <c r="T53" s="24">
        <f>Q53</f>
        <v>5745</v>
      </c>
    </row>
    <row r="54" spans="1:20" s="7" customFormat="1" ht="46.5" customHeight="1">
      <c r="A54" s="46"/>
      <c r="B54" s="61" t="s">
        <v>50</v>
      </c>
      <c r="C54" s="62"/>
      <c r="D54" s="62"/>
      <c r="E54" s="62"/>
      <c r="F54" s="62"/>
      <c r="G54" s="62"/>
      <c r="H54" s="62"/>
      <c r="I54" s="62"/>
      <c r="J54" s="62"/>
      <c r="K54" s="62"/>
      <c r="L54" s="62"/>
      <c r="M54" s="62"/>
      <c r="N54" s="62"/>
      <c r="O54" s="62"/>
      <c r="P54" s="62"/>
      <c r="Q54" s="62"/>
      <c r="R54" s="62"/>
      <c r="S54" s="11"/>
      <c r="T54" s="35">
        <f>SUM(T52:T53)</f>
        <v>11904</v>
      </c>
    </row>
    <row r="55" spans="1:20" s="7" customFormat="1" ht="46.5" customHeight="1">
      <c r="A55" s="46"/>
      <c r="B55" s="40" t="s">
        <v>71</v>
      </c>
      <c r="C55" s="41"/>
      <c r="D55" s="41"/>
      <c r="E55" s="41"/>
      <c r="F55" s="41"/>
      <c r="G55" s="42"/>
      <c r="H55" s="16" t="s">
        <v>91</v>
      </c>
      <c r="I55" s="20" t="s">
        <v>93</v>
      </c>
      <c r="J55" s="16"/>
      <c r="K55" s="16"/>
      <c r="L55" s="16"/>
      <c r="M55" s="16" t="s">
        <v>110</v>
      </c>
      <c r="N55" s="16" t="s">
        <v>24</v>
      </c>
      <c r="O55" s="12" t="s">
        <v>8</v>
      </c>
      <c r="P55" s="10" t="s">
        <v>5</v>
      </c>
      <c r="Q55" s="10" t="s">
        <v>6</v>
      </c>
      <c r="R55" s="10" t="s">
        <v>4</v>
      </c>
      <c r="S55" s="10" t="s">
        <v>28</v>
      </c>
      <c r="T55" s="10" t="s">
        <v>21</v>
      </c>
    </row>
    <row r="56" spans="1:20" s="7" customFormat="1" ht="95.25" customHeight="1">
      <c r="A56" s="46"/>
      <c r="B56" s="23">
        <v>11</v>
      </c>
      <c r="C56" s="8">
        <v>1</v>
      </c>
      <c r="D56" s="18">
        <v>1348515</v>
      </c>
      <c r="E56" s="10" t="s">
        <v>10</v>
      </c>
      <c r="F56" s="18">
        <v>2</v>
      </c>
      <c r="G56" s="21" t="s">
        <v>60</v>
      </c>
      <c r="H56" s="17">
        <f>F56*5870</f>
        <v>11740</v>
      </c>
      <c r="I56" s="11">
        <f>F56*7800</f>
        <v>15600</v>
      </c>
      <c r="J56" s="11"/>
      <c r="K56" s="11"/>
      <c r="L56" s="11"/>
      <c r="M56" s="11">
        <f>F56*6099</f>
        <v>12198</v>
      </c>
      <c r="N56" s="11">
        <f>F56*4857.06</f>
        <v>9714.12</v>
      </c>
      <c r="O56" s="11">
        <f>MIN(H56:N56)</f>
        <v>9714.12</v>
      </c>
      <c r="P56" s="11">
        <f>AVERAGE(H56:N56)</f>
        <v>12313.03</v>
      </c>
      <c r="Q56" s="14">
        <f>MEDIAN(H56:N56)</f>
        <v>11969</v>
      </c>
      <c r="R56" s="15">
        <f>STDEV(H56:N56)/AVERAGE(H56:N56)</f>
        <v>0.1983819553997118</v>
      </c>
      <c r="S56" s="11">
        <f>T56/F56</f>
        <v>6156.515</v>
      </c>
      <c r="T56" s="24">
        <f>P56</f>
        <v>12313.03</v>
      </c>
    </row>
    <row r="57" spans="1:20" s="7" customFormat="1" ht="46.5" customHeight="1">
      <c r="A57" s="46"/>
      <c r="B57" s="30"/>
      <c r="C57" s="61" t="s">
        <v>51</v>
      </c>
      <c r="D57" s="62"/>
      <c r="E57" s="62"/>
      <c r="F57" s="62"/>
      <c r="G57" s="62"/>
      <c r="H57" s="62"/>
      <c r="I57" s="62"/>
      <c r="J57" s="62"/>
      <c r="K57" s="62"/>
      <c r="L57" s="62"/>
      <c r="M57" s="62"/>
      <c r="N57" s="62"/>
      <c r="O57" s="62"/>
      <c r="P57" s="62"/>
      <c r="Q57" s="62"/>
      <c r="R57" s="63"/>
      <c r="S57" s="11"/>
      <c r="T57" s="25">
        <f>T56</f>
        <v>12313.03</v>
      </c>
    </row>
    <row r="58" spans="1:20" s="7" customFormat="1" ht="60.75" customHeight="1">
      <c r="A58" s="46"/>
      <c r="B58" s="40" t="s">
        <v>111</v>
      </c>
      <c r="C58" s="41"/>
      <c r="D58" s="41"/>
      <c r="E58" s="41"/>
      <c r="F58" s="41"/>
      <c r="G58" s="42"/>
      <c r="H58" s="16" t="s">
        <v>93</v>
      </c>
      <c r="I58" s="20" t="s">
        <v>94</v>
      </c>
      <c r="J58" s="16"/>
      <c r="K58" s="16"/>
      <c r="L58" s="16"/>
      <c r="M58" s="16" t="s">
        <v>26</v>
      </c>
      <c r="N58" s="16" t="s">
        <v>24</v>
      </c>
      <c r="O58" s="12" t="s">
        <v>8</v>
      </c>
      <c r="P58" s="10" t="s">
        <v>5</v>
      </c>
      <c r="Q58" s="10" t="s">
        <v>6</v>
      </c>
      <c r="R58" s="10" t="s">
        <v>4</v>
      </c>
      <c r="S58" s="10" t="s">
        <v>28</v>
      </c>
      <c r="T58" s="10" t="s">
        <v>21</v>
      </c>
    </row>
    <row r="59" spans="1:20" s="7" customFormat="1" ht="144.75" customHeight="1">
      <c r="A59" s="46"/>
      <c r="B59" s="47">
        <v>12</v>
      </c>
      <c r="C59" s="8">
        <v>1</v>
      </c>
      <c r="D59" s="18">
        <v>1762923</v>
      </c>
      <c r="E59" s="10" t="s">
        <v>10</v>
      </c>
      <c r="F59" s="18">
        <v>50</v>
      </c>
      <c r="G59" s="21" t="s">
        <v>85</v>
      </c>
      <c r="H59" s="17">
        <f>F59*15850</f>
        <v>792500</v>
      </c>
      <c r="I59" s="11">
        <f>F59*2900</f>
        <v>145000</v>
      </c>
      <c r="J59" s="11"/>
      <c r="K59" s="11"/>
      <c r="L59" s="11"/>
      <c r="M59" s="11">
        <f>F59*2599</f>
        <v>129950</v>
      </c>
      <c r="N59" s="11">
        <f>F59*1100</f>
        <v>55000</v>
      </c>
      <c r="O59" s="11">
        <f>MIN(H59:N59)</f>
        <v>55000</v>
      </c>
      <c r="P59" s="11">
        <f>AVERAGE(H59:N59)</f>
        <v>280612.5</v>
      </c>
      <c r="Q59" s="14">
        <f>MEDIAN(H59:N59)</f>
        <v>137475</v>
      </c>
      <c r="R59" s="15">
        <f>STDEV(H59:N59)/AVERAGE(H9:N59)</f>
        <v>1.2384489815908541</v>
      </c>
      <c r="S59" s="11">
        <f>T59/F59</f>
        <v>2749.5</v>
      </c>
      <c r="T59" s="24">
        <f>Q59</f>
        <v>137475</v>
      </c>
    </row>
    <row r="60" spans="1:20" s="7" customFormat="1" ht="101.25" customHeight="1">
      <c r="A60" s="46"/>
      <c r="B60" s="67"/>
      <c r="C60" s="8">
        <v>2</v>
      </c>
      <c r="D60" s="18">
        <v>1713027</v>
      </c>
      <c r="E60" s="10" t="s">
        <v>10</v>
      </c>
      <c r="F60" s="18">
        <v>50</v>
      </c>
      <c r="G60" s="21" t="s">
        <v>61</v>
      </c>
      <c r="H60" s="17">
        <f>F60*990</f>
        <v>49500</v>
      </c>
      <c r="I60" s="11">
        <f>F60*950</f>
        <v>47500</v>
      </c>
      <c r="J60" s="11"/>
      <c r="K60" s="11"/>
      <c r="L60" s="11"/>
      <c r="M60" s="11">
        <f>F60*950</f>
        <v>47500</v>
      </c>
      <c r="N60" s="36">
        <f>F60*602.3</f>
        <v>30114.999999999996</v>
      </c>
      <c r="O60" s="11">
        <f>MIN(H60:N60)</f>
        <v>30114.999999999996</v>
      </c>
      <c r="P60" s="11">
        <f>AVERAGE(H60:N60)</f>
        <v>43653.75</v>
      </c>
      <c r="Q60" s="14">
        <f>MEDIAN(H60:N60)</f>
        <v>47500</v>
      </c>
      <c r="R60" s="15">
        <f>STDEV(H60:N60)/AVERAGE(H10:N60)</f>
        <v>0.03316309799401551</v>
      </c>
      <c r="S60" s="11">
        <f>T60/F60</f>
        <v>873.075</v>
      </c>
      <c r="T60" s="24">
        <f>P60</f>
        <v>43653.75</v>
      </c>
    </row>
    <row r="61" spans="1:20" s="7" customFormat="1" ht="112.5" customHeight="1">
      <c r="A61" s="46"/>
      <c r="B61" s="67"/>
      <c r="C61" s="8">
        <v>3</v>
      </c>
      <c r="D61" s="18">
        <v>1713043</v>
      </c>
      <c r="E61" s="10" t="s">
        <v>10</v>
      </c>
      <c r="F61" s="18">
        <v>50</v>
      </c>
      <c r="G61" s="21" t="s">
        <v>62</v>
      </c>
      <c r="H61" s="17">
        <f>F61*540</f>
        <v>27000</v>
      </c>
      <c r="I61" s="11">
        <f>F61*400</f>
        <v>20000</v>
      </c>
      <c r="J61" s="11"/>
      <c r="K61" s="11"/>
      <c r="L61" s="11"/>
      <c r="M61" s="11">
        <f>F61*339.9</f>
        <v>16995</v>
      </c>
      <c r="N61" s="11">
        <f>F61*237.67</f>
        <v>11883.5</v>
      </c>
      <c r="O61" s="11">
        <f>MIN(H61:N61)</f>
        <v>11883.5</v>
      </c>
      <c r="P61" s="11">
        <f>AVERAGE(H61:N61)</f>
        <v>18969.625</v>
      </c>
      <c r="Q61" s="14">
        <f>MEDIAN(H61:N61)</f>
        <v>18497.5</v>
      </c>
      <c r="R61" s="15">
        <f>STDEV(H61:N61)/AVERAGE(H11:N61)</f>
        <v>0.022947419898024058</v>
      </c>
      <c r="S61" s="11">
        <f>T61/F61</f>
        <v>379.3925</v>
      </c>
      <c r="T61" s="24">
        <f>P61</f>
        <v>18969.625</v>
      </c>
    </row>
    <row r="62" spans="1:20" s="7" customFormat="1" ht="77.25" customHeight="1">
      <c r="A62" s="46"/>
      <c r="B62" s="67"/>
      <c r="C62" s="8">
        <v>4</v>
      </c>
      <c r="D62" s="18">
        <v>1471287</v>
      </c>
      <c r="E62" s="10" t="s">
        <v>10</v>
      </c>
      <c r="F62" s="18">
        <v>50</v>
      </c>
      <c r="G62" s="21" t="s">
        <v>63</v>
      </c>
      <c r="H62" s="17">
        <f>F62*4980</f>
        <v>249000</v>
      </c>
      <c r="I62" s="11">
        <f>F62*3150</f>
        <v>157500</v>
      </c>
      <c r="J62" s="11"/>
      <c r="K62" s="11"/>
      <c r="L62" s="11"/>
      <c r="M62" s="11">
        <f>F62*(2699.99+64.99)</f>
        <v>138248.99999999997</v>
      </c>
      <c r="N62" s="11">
        <f>F62*(2455.33+91.84)</f>
        <v>127358.5</v>
      </c>
      <c r="O62" s="11">
        <f>MIN(H62:N62)</f>
        <v>127358.5</v>
      </c>
      <c r="P62" s="11">
        <f>AVERAGE(H62:N62)</f>
        <v>168026.875</v>
      </c>
      <c r="Q62" s="14">
        <f>MEDIAN(H62:N62)</f>
        <v>147874.5</v>
      </c>
      <c r="R62" s="15">
        <f>STDEV(H62:N62)/AVERAGE(H12:N62)</f>
        <v>0.20945194762433586</v>
      </c>
      <c r="S62" s="11">
        <f>T62/F62</f>
        <v>3360.5375</v>
      </c>
      <c r="T62" s="24">
        <f>P62</f>
        <v>168026.875</v>
      </c>
    </row>
    <row r="63" spans="1:20" s="7" customFormat="1" ht="46.5" customHeight="1">
      <c r="A63" s="46"/>
      <c r="B63" s="64" t="s">
        <v>52</v>
      </c>
      <c r="C63" s="65"/>
      <c r="D63" s="65"/>
      <c r="E63" s="65"/>
      <c r="F63" s="65"/>
      <c r="G63" s="65"/>
      <c r="H63" s="65"/>
      <c r="I63" s="65"/>
      <c r="J63" s="65"/>
      <c r="K63" s="65"/>
      <c r="L63" s="65"/>
      <c r="M63" s="65"/>
      <c r="N63" s="65"/>
      <c r="O63" s="65"/>
      <c r="P63" s="65"/>
      <c r="Q63" s="65"/>
      <c r="R63" s="66"/>
      <c r="S63" s="11"/>
      <c r="T63" s="25">
        <f>SUM(T59:T62)</f>
        <v>368125.25</v>
      </c>
    </row>
    <row r="64" spans="1:21" ht="183" customHeight="1">
      <c r="A64" s="46"/>
      <c r="B64" s="49" t="s">
        <v>128</v>
      </c>
      <c r="C64" s="50"/>
      <c r="D64" s="50"/>
      <c r="E64" s="50"/>
      <c r="F64" s="50"/>
      <c r="G64" s="50"/>
      <c r="H64" s="50"/>
      <c r="I64" s="50"/>
      <c r="J64" s="50"/>
      <c r="K64" s="50"/>
      <c r="L64" s="50"/>
      <c r="M64" s="50"/>
      <c r="N64" s="50"/>
      <c r="O64" s="50"/>
      <c r="P64" s="50"/>
      <c r="Q64" s="50"/>
      <c r="R64" s="50"/>
      <c r="S64" s="50"/>
      <c r="T64" s="51"/>
      <c r="U64" s="7"/>
    </row>
    <row r="65" spans="2:20" ht="33" customHeight="1">
      <c r="B65" s="60"/>
      <c r="C65" s="60"/>
      <c r="D65" s="60"/>
      <c r="E65" s="60"/>
      <c r="F65" s="60"/>
      <c r="G65" s="60"/>
      <c r="H65" s="60"/>
      <c r="I65" s="60"/>
      <c r="J65" s="60"/>
      <c r="K65" s="60"/>
      <c r="L65" s="60"/>
      <c r="M65" s="60"/>
      <c r="N65" s="60"/>
      <c r="O65" s="60"/>
      <c r="P65" s="60"/>
      <c r="Q65" s="60"/>
      <c r="R65" s="60"/>
      <c r="S65" s="60"/>
      <c r="T65" s="60"/>
    </row>
    <row r="80" ht="12.75">
      <c r="D80" s="22" t="s">
        <v>12</v>
      </c>
    </row>
  </sheetData>
  <sheetProtection selectLockedCells="1" selectUnlockedCells="1"/>
  <mergeCells count="40">
    <mergeCell ref="H3:L3"/>
    <mergeCell ref="B25:R25"/>
    <mergeCell ref="B51:G51"/>
    <mergeCell ref="B55:G55"/>
    <mergeCell ref="B58:G58"/>
    <mergeCell ref="B54:R54"/>
    <mergeCell ref="B40:G40"/>
    <mergeCell ref="B44:G44"/>
    <mergeCell ref="B47:R47"/>
    <mergeCell ref="B50:R50"/>
    <mergeCell ref="B48:G48"/>
    <mergeCell ref="A1:U1"/>
    <mergeCell ref="B2:T2"/>
    <mergeCell ref="B32:R32"/>
    <mergeCell ref="B39:R39"/>
    <mergeCell ref="B43:R43"/>
    <mergeCell ref="B27:B31"/>
    <mergeCell ref="B34:B38"/>
    <mergeCell ref="B41:B42"/>
    <mergeCell ref="B13:G13"/>
    <mergeCell ref="B19:G19"/>
    <mergeCell ref="B6:R6"/>
    <mergeCell ref="B18:R18"/>
    <mergeCell ref="B65:T65"/>
    <mergeCell ref="C57:R57"/>
    <mergeCell ref="B63:R63"/>
    <mergeCell ref="B59:B62"/>
    <mergeCell ref="B33:G33"/>
    <mergeCell ref="B26:G26"/>
    <mergeCell ref="B20:B24"/>
    <mergeCell ref="B8:B11"/>
    <mergeCell ref="B14:B17"/>
    <mergeCell ref="B7:G7"/>
    <mergeCell ref="B12:R12"/>
    <mergeCell ref="A3:A64"/>
    <mergeCell ref="B52:B53"/>
    <mergeCell ref="B64:T64"/>
    <mergeCell ref="B45:B46"/>
    <mergeCell ref="B3:G3"/>
    <mergeCell ref="O3:T3"/>
  </mergeCells>
  <printOptions horizontalCentered="1"/>
  <pageMargins left="0.7086614173228347" right="0.7086614173228347" top="0.7480314960629921" bottom="0.7480314960629921" header="0.31496062992125984" footer="0.31496062992125984"/>
  <pageSetup horizontalDpi="300" verticalDpi="300" orientation="landscape" paperSize="9" scale="50" r:id="rId2"/>
  <headerFooter alignWithMargins="0">
    <oddFooter>&amp;L&amp;4DMAP1.XLS&amp;C&amp;4MP/PGJ&amp;R&amp;4SPC/DPLI/AGO/99</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showOutlineSymbols="0" zoomScaleSheetLayoutView="100" zoomScalePageLayoutView="0" workbookViewId="0" topLeftCell="A1">
      <selection activeCell="A1" sqref="A1"/>
    </sheetView>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dimension ref="A1:A1"/>
  <sheetViews>
    <sheetView showOutlineSymbols="0" zoomScaleSheetLayoutView="100" zoomScalePageLayoutView="0" workbookViewId="0" topLeftCell="A1">
      <selection activeCell="A1" sqref="A1"/>
    </sheetView>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dimension ref="A1:A1"/>
  <sheetViews>
    <sheetView showOutlineSymbols="0" zoomScaleSheetLayoutView="100" zoomScalePageLayoutView="0" workbookViewId="0" topLeftCell="A1">
      <selection activeCell="A1" sqref="A1"/>
    </sheetView>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dimension ref="A1:A1"/>
  <sheetViews>
    <sheetView showOutlineSymbols="0" zoomScaleSheetLayoutView="100" zoomScalePageLayoutView="0" workbookViewId="0" topLeftCell="A1">
      <selection activeCell="A1" sqref="A1"/>
    </sheetView>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4.xml><?xml version="1.0" encoding="utf-8"?>
<worksheet xmlns="http://schemas.openxmlformats.org/spreadsheetml/2006/main" xmlns:r="http://schemas.openxmlformats.org/officeDocument/2006/relationships">
  <dimension ref="A1:A1"/>
  <sheetViews>
    <sheetView showOutlineSymbols="0" zoomScaleSheetLayoutView="100" zoomScalePageLayoutView="0" workbookViewId="0" topLeftCell="A1">
      <selection activeCell="A1" sqref="A1"/>
    </sheetView>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5.xml><?xml version="1.0" encoding="utf-8"?>
<worksheet xmlns="http://schemas.openxmlformats.org/spreadsheetml/2006/main" xmlns:r="http://schemas.openxmlformats.org/officeDocument/2006/relationships">
  <dimension ref="A1:A1"/>
  <sheetViews>
    <sheetView showOutlineSymbols="0" zoomScaleSheetLayoutView="100" zoomScalePageLayoutView="0" workbookViewId="0" topLeftCell="A1">
      <selection activeCell="A1" sqref="A1"/>
    </sheetView>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6.xml><?xml version="1.0" encoding="utf-8"?>
<worksheet xmlns="http://schemas.openxmlformats.org/spreadsheetml/2006/main" xmlns:r="http://schemas.openxmlformats.org/officeDocument/2006/relationships">
  <dimension ref="A1:A1"/>
  <sheetViews>
    <sheetView showOutlineSymbols="0" zoomScaleSheetLayoutView="100" zoomScalePageLayoutView="0" workbookViewId="0" topLeftCell="A1">
      <selection activeCell="A1" sqref="A1"/>
    </sheetView>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A1"/>
  <sheetViews>
    <sheetView showOutlineSymbols="0" zoomScaleSheetLayoutView="100" zoomScalePageLayoutView="0" workbookViewId="0" topLeftCell="A1">
      <selection activeCell="A1" sqref="A1"/>
    </sheetView>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A1"/>
  <sheetViews>
    <sheetView showOutlineSymbols="0" zoomScaleSheetLayoutView="100" zoomScalePageLayoutView="0" workbookViewId="0" topLeftCell="A1">
      <selection activeCell="A1" sqref="A1"/>
    </sheetView>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A1"/>
  <sheetViews>
    <sheetView showOutlineSymbols="0" zoomScaleSheetLayoutView="100" zoomScalePageLayoutView="0" workbookViewId="0" topLeftCell="A1">
      <selection activeCell="A1" sqref="A1"/>
    </sheetView>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dimension ref="A1:A1"/>
  <sheetViews>
    <sheetView showOutlineSymbols="0" zoomScaleSheetLayoutView="100" zoomScalePageLayoutView="0" workbookViewId="0" topLeftCell="A1">
      <selection activeCell="A1" sqref="A1"/>
    </sheetView>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dimension ref="A1:A1"/>
  <sheetViews>
    <sheetView showOutlineSymbols="0" zoomScaleSheetLayoutView="100" zoomScalePageLayoutView="0" workbookViewId="0" topLeftCell="A1">
      <selection activeCell="A1" sqref="A1"/>
    </sheetView>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dimension ref="A1:A1"/>
  <sheetViews>
    <sheetView showOutlineSymbols="0" zoomScaleSheetLayoutView="100" zoomScalePageLayoutView="0" workbookViewId="0" topLeftCell="A1">
      <selection activeCell="A1" sqref="A1"/>
    </sheetView>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8.xml><?xml version="1.0" encoding="utf-8"?>
<worksheet xmlns="http://schemas.openxmlformats.org/spreadsheetml/2006/main" xmlns:r="http://schemas.openxmlformats.org/officeDocument/2006/relationships">
  <dimension ref="A1:A1"/>
  <sheetViews>
    <sheetView showOutlineSymbols="0" zoomScaleSheetLayoutView="100" zoomScalePageLayoutView="0" workbookViewId="0" topLeftCell="A1">
      <selection activeCell="A1" sqref="A1"/>
    </sheetView>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A1:A1"/>
  <sheetViews>
    <sheetView showOutlineSymbols="0" zoomScaleSheetLayoutView="100" zoomScalePageLayoutView="0" workbookViewId="0" topLeftCell="A1">
      <selection activeCell="A1" sqref="A1"/>
    </sheetView>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Maria Lessa da Costa</dc:creator>
  <cp:keywords/>
  <dc:description/>
  <cp:lastModifiedBy>sicapanem@gmail.com</cp:lastModifiedBy>
  <cp:lastPrinted>2020-12-03T16:12:52Z</cp:lastPrinted>
  <dcterms:created xsi:type="dcterms:W3CDTF">2018-03-23T12:39:52Z</dcterms:created>
  <dcterms:modified xsi:type="dcterms:W3CDTF">2020-12-03T16:13:40Z</dcterms:modified>
  <cp:category/>
  <cp:version/>
  <cp:contentType/>
  <cp:contentStatus/>
</cp:coreProperties>
</file>